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ダウンロード\Skype\"/>
    </mc:Choice>
  </mc:AlternateContent>
  <workbookProtection workbookAlgorithmName="SHA-512" workbookHashValue="cKN/frw+ohZoTZ3XoGSrB4dXAKX26WpqSzobgfmNV91tgaDTs3OfLjTE/+NrfURcngWK41K+WAzJzvZQtHmD3g==" workbookSaltValue="cD/aUJ2jThgctmRttyQijQ==" workbookSpinCount="100000" lockStructure="1"/>
  <bookViews>
    <workbookView xWindow="0" yWindow="0" windowWidth="28800" windowHeight="12060"/>
  </bookViews>
  <sheets>
    <sheet name="コストシミュレーション" sheetId="1" r:id="rId1"/>
    <sheet name="Sheet1" sheetId="3" state="hidden" r:id="rId2"/>
  </sheets>
  <definedNames>
    <definedName name="_xlnm.Print_Area" localSheetId="0">コストシミュレーション!$A$1:$W$137</definedName>
    <definedName name="その他季単価">コストシミュレーション!$K$8</definedName>
    <definedName name="沖縄電力">Sheet1!$B$94:$B$102</definedName>
    <definedName name="夏季単価">コストシミュレーション!$K$7</definedName>
    <definedName name="関西電力">Sheet1!$B$63:$B$70</definedName>
    <definedName name="基本料金">コストシミュレーション!$K$6</definedName>
    <definedName name="既設デマンド">コストシミュレーション!$I$17</definedName>
    <definedName name="既設基本料金">コストシミュレーション!$G$17</definedName>
    <definedName name="既設使用量">コストシミュレーション!$C$16</definedName>
    <definedName name="既設電気料金">コストシミュレーション!$C$17</definedName>
    <definedName name="既灯1型式">コストシミュレーション!$C$12</definedName>
    <definedName name="既灯1消費">コストシミュレーション!$E$12</definedName>
    <definedName name="既灯1本数">コストシミュレーション!$F$12</definedName>
    <definedName name="既灯1名称">コストシミュレーション!$B$12</definedName>
    <definedName name="既灯2型式">コストシミュレーション!$C$13</definedName>
    <definedName name="既灯2消費">コストシミュレーション!$E$13</definedName>
    <definedName name="既灯2本数">コストシミュレーション!$F$13</definedName>
    <definedName name="既灯2名称">コストシミュレーション!$B$13</definedName>
    <definedName name="九州電力">Sheet1!$B$87:$B$93</definedName>
    <definedName name="四国電力">Sheet1!$B$79:$B$86</definedName>
    <definedName name="新設デマンド">コストシミュレーション!$I$26</definedName>
    <definedName name="新設基本料金">コストシミュレーション!$G$26</definedName>
    <definedName name="新設使用量">コストシミュレーション!$C$25</definedName>
    <definedName name="新設電気料金">コストシミュレーション!$C$26</definedName>
    <definedName name="新灯1型式">コストシミュレーション!$C$21</definedName>
    <definedName name="新灯1消費">コストシミュレーション!$E$21</definedName>
    <definedName name="新灯1本数">コストシミュレーション!$F$21</definedName>
    <definedName name="新灯1名称">コストシミュレーション!$B$21</definedName>
    <definedName name="新灯2型式">コストシミュレーション!$C$22</definedName>
    <definedName name="新灯2消費">コストシミュレーション!$E$22</definedName>
    <definedName name="新灯2本数">コストシミュレーション!$F$22</definedName>
    <definedName name="新灯2名称">コストシミュレーション!$B$22</definedName>
    <definedName name="中国電力">Sheet1!$B$71:$B$78</definedName>
    <definedName name="中部電力">Sheet1!$B$36:$B$57</definedName>
    <definedName name="電気事業者">Sheet1!$H$7:$H$16</definedName>
    <definedName name="東京電力">Sheet1!$B$19:$B$27</definedName>
    <definedName name="東北電力">Sheet1!$B$28:$B$35</definedName>
    <definedName name="北海道電力">Sheet1!$B$10:$B$18</definedName>
    <definedName name="北陸電力">Sheet1!$B$58:$B$62</definedName>
  </definedNames>
  <calcPr calcId="152511"/>
</workbook>
</file>

<file path=xl/calcChain.xml><?xml version="1.0" encoding="utf-8"?>
<calcChain xmlns="http://schemas.openxmlformats.org/spreadsheetml/2006/main">
  <c r="D95" i="3" l="1"/>
  <c r="E95" i="3"/>
  <c r="F95" i="3"/>
  <c r="D96" i="3"/>
  <c r="E96" i="3"/>
  <c r="F96" i="3"/>
  <c r="D97" i="3"/>
  <c r="E97" i="3"/>
  <c r="F97" i="3"/>
  <c r="D98" i="3"/>
  <c r="E98" i="3"/>
  <c r="F98" i="3"/>
  <c r="D99" i="3"/>
  <c r="E99" i="3"/>
  <c r="F99" i="3"/>
  <c r="D100" i="3"/>
  <c r="E100" i="3"/>
  <c r="F100" i="3"/>
  <c r="D101" i="3"/>
  <c r="E101" i="3"/>
  <c r="F101" i="3"/>
  <c r="D102" i="3"/>
  <c r="E102" i="3"/>
  <c r="F102" i="3"/>
  <c r="E94" i="3"/>
  <c r="F94" i="3"/>
  <c r="D94" i="3"/>
  <c r="C99" i="3"/>
  <c r="C100" i="3"/>
  <c r="C101" i="3"/>
  <c r="C98" i="3"/>
  <c r="C97" i="3"/>
  <c r="D79" i="3"/>
  <c r="E79" i="3"/>
  <c r="F79" i="3"/>
  <c r="D80" i="3"/>
  <c r="E80" i="3"/>
  <c r="F80" i="3"/>
  <c r="D81" i="3"/>
  <c r="E81" i="3"/>
  <c r="F81" i="3"/>
  <c r="D82" i="3"/>
  <c r="E82" i="3"/>
  <c r="F82" i="3"/>
  <c r="D83" i="3"/>
  <c r="E83" i="3"/>
  <c r="F83" i="3"/>
  <c r="D84" i="3"/>
  <c r="E84" i="3"/>
  <c r="F84" i="3"/>
  <c r="D85" i="3"/>
  <c r="E85" i="3"/>
  <c r="F85" i="3"/>
  <c r="D86" i="3"/>
  <c r="E86" i="3"/>
  <c r="F86" i="3"/>
  <c r="C82" i="3"/>
  <c r="C83" i="3"/>
  <c r="D72" i="3"/>
  <c r="E72" i="3"/>
  <c r="F72" i="3"/>
  <c r="D73" i="3"/>
  <c r="E73" i="3"/>
  <c r="F73" i="3"/>
  <c r="D74" i="3"/>
  <c r="E74" i="3"/>
  <c r="F74" i="3"/>
  <c r="D75" i="3"/>
  <c r="E75" i="3"/>
  <c r="F75" i="3"/>
  <c r="D76" i="3"/>
  <c r="E76" i="3"/>
  <c r="F76" i="3"/>
  <c r="D77" i="3"/>
  <c r="E77" i="3"/>
  <c r="F77" i="3"/>
  <c r="D78" i="3"/>
  <c r="E78" i="3"/>
  <c r="F78" i="3"/>
  <c r="E71" i="3"/>
  <c r="F71" i="3"/>
  <c r="D71" i="3"/>
  <c r="C72" i="3"/>
  <c r="C73" i="3"/>
  <c r="C71" i="3"/>
  <c r="C74" i="3"/>
  <c r="C75" i="3"/>
  <c r="C76" i="3"/>
  <c r="C77" i="3"/>
  <c r="C78" i="3"/>
  <c r="C67" i="3"/>
  <c r="C68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D61" i="3"/>
  <c r="E61" i="3"/>
  <c r="F61" i="3"/>
  <c r="D62" i="3"/>
  <c r="E62" i="3"/>
  <c r="F62" i="3"/>
  <c r="D59" i="3"/>
  <c r="E59" i="3"/>
  <c r="F59" i="3"/>
  <c r="D60" i="3"/>
  <c r="E60" i="3"/>
  <c r="F60" i="3"/>
  <c r="E58" i="3"/>
  <c r="F58" i="3"/>
  <c r="D58" i="3"/>
  <c r="C63" i="3" l="1"/>
  <c r="C64" i="3"/>
  <c r="C65" i="3"/>
  <c r="C66" i="3"/>
  <c r="C69" i="3"/>
  <c r="C70" i="3"/>
  <c r="C79" i="3"/>
  <c r="C80" i="3"/>
  <c r="C81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102" i="3"/>
  <c r="C10" i="3"/>
  <c r="D4" i="3" l="1"/>
  <c r="K8" i="1" s="1"/>
  <c r="C4" i="3"/>
  <c r="K7" i="1" s="1"/>
  <c r="B4" i="3"/>
  <c r="K6" i="1" s="1"/>
  <c r="E137" i="3"/>
  <c r="D137" i="3"/>
  <c r="C137" i="3"/>
  <c r="E136" i="3"/>
  <c r="D136" i="3"/>
  <c r="C136" i="3"/>
  <c r="E135" i="3"/>
  <c r="D135" i="3"/>
  <c r="C135" i="3"/>
  <c r="E134" i="3"/>
  <c r="D134" i="3"/>
  <c r="C134" i="3"/>
  <c r="E133" i="3"/>
  <c r="D133" i="3"/>
  <c r="C133" i="3"/>
  <c r="E132" i="3"/>
  <c r="D132" i="3"/>
  <c r="C132" i="3"/>
  <c r="E131" i="3"/>
  <c r="D131" i="3"/>
  <c r="C131" i="3"/>
  <c r="E130" i="3"/>
  <c r="D130" i="3"/>
  <c r="C130" i="3"/>
  <c r="E129" i="3"/>
  <c r="D129" i="3"/>
  <c r="C129" i="3"/>
  <c r="E128" i="3"/>
  <c r="D128" i="3"/>
  <c r="C128" i="3"/>
  <c r="E127" i="3"/>
  <c r="D127" i="3"/>
  <c r="C127" i="3"/>
  <c r="E126" i="3"/>
  <c r="D126" i="3"/>
  <c r="C126" i="3"/>
  <c r="E125" i="3"/>
  <c r="D125" i="3"/>
  <c r="C125" i="3"/>
  <c r="E124" i="3"/>
  <c r="D124" i="3"/>
  <c r="C124" i="3"/>
  <c r="E123" i="3"/>
  <c r="D123" i="3"/>
  <c r="C123" i="3"/>
  <c r="E122" i="3"/>
  <c r="D122" i="3"/>
  <c r="C122" i="3"/>
  <c r="E121" i="3"/>
  <c r="D121" i="3"/>
  <c r="C121" i="3"/>
  <c r="I26" i="1" l="1"/>
  <c r="I17" i="1"/>
  <c r="G17" i="1" s="1"/>
  <c r="I50" i="1" s="1"/>
  <c r="Q7" i="1"/>
  <c r="R7" i="1"/>
  <c r="S7" i="1"/>
  <c r="Q8" i="1"/>
  <c r="R8" i="1"/>
  <c r="S8" i="1"/>
  <c r="P8" i="1"/>
  <c r="P7" i="1"/>
  <c r="M22" i="1"/>
  <c r="M21" i="1"/>
  <c r="Q22" i="1"/>
  <c r="R22" i="1" s="1"/>
  <c r="Q21" i="1"/>
  <c r="R21" i="1" s="1"/>
  <c r="B2" i="1"/>
  <c r="C26" i="1" l="1"/>
  <c r="C17" i="1"/>
  <c r="R23" i="1"/>
  <c r="E56" i="1"/>
  <c r="T50" i="1"/>
  <c r="P50" i="1"/>
  <c r="L50" i="1"/>
  <c r="H50" i="1"/>
  <c r="S50" i="1"/>
  <c r="O50" i="1"/>
  <c r="K50" i="1"/>
  <c r="G50" i="1"/>
  <c r="R50" i="1"/>
  <c r="N50" i="1"/>
  <c r="J50" i="1"/>
  <c r="F50" i="1"/>
  <c r="Q50" i="1"/>
  <c r="M50" i="1"/>
  <c r="Q13" i="1"/>
  <c r="R13" i="1" s="1"/>
  <c r="Q12" i="1"/>
  <c r="R12" i="1" s="1"/>
  <c r="M13" i="1"/>
  <c r="M12" i="1"/>
  <c r="B3" i="1"/>
  <c r="Q5" i="1"/>
  <c r="R5" i="1"/>
  <c r="S5" i="1"/>
  <c r="P5" i="1"/>
  <c r="F54" i="1" l="1"/>
  <c r="H49" i="1"/>
  <c r="H112" i="3"/>
  <c r="R54" i="1"/>
  <c r="G54" i="1"/>
  <c r="L54" i="1"/>
  <c r="H54" i="1"/>
  <c r="K54" i="1"/>
  <c r="I54" i="1"/>
  <c r="J54" i="1"/>
  <c r="P54" i="1"/>
  <c r="O54" i="1"/>
  <c r="M54" i="1"/>
  <c r="N54" i="1"/>
  <c r="T54" i="1"/>
  <c r="S54" i="1"/>
  <c r="Q54" i="1"/>
  <c r="J49" i="1"/>
  <c r="S49" i="1"/>
  <c r="I49" i="1"/>
  <c r="R49" i="1"/>
  <c r="M49" i="1"/>
  <c r="P49" i="1"/>
  <c r="G49" i="1"/>
  <c r="T49" i="1"/>
  <c r="K49" i="1"/>
  <c r="Q49" i="1"/>
  <c r="F49" i="1"/>
  <c r="N49" i="1"/>
  <c r="O49" i="1"/>
  <c r="L49" i="1"/>
  <c r="E51" i="1"/>
  <c r="S6" i="1"/>
  <c r="Q6" i="1"/>
  <c r="G22" i="1" l="1"/>
  <c r="H22" i="1" s="1"/>
  <c r="U22" i="1"/>
  <c r="G13" i="1"/>
  <c r="H13" i="1" s="1"/>
  <c r="U13" i="1"/>
  <c r="E54" i="1"/>
  <c r="E49" i="1" l="1"/>
  <c r="R6" i="1"/>
  <c r="P6" i="1"/>
  <c r="E50" i="1"/>
  <c r="U21" i="1" l="1"/>
  <c r="H56" i="1" s="1"/>
  <c r="G21" i="1"/>
  <c r="H21" i="1" s="1"/>
  <c r="G23" i="1" s="1"/>
  <c r="G12" i="1"/>
  <c r="H12" i="1" s="1"/>
  <c r="G14" i="1" s="1"/>
  <c r="C16" i="1" s="1"/>
  <c r="U12" i="1"/>
  <c r="G26" i="1"/>
  <c r="S26" i="1"/>
  <c r="B49" i="1"/>
  <c r="R14" i="1"/>
  <c r="O26" i="1" l="1"/>
  <c r="J112" i="3"/>
  <c r="S56" i="1"/>
  <c r="F56" i="1"/>
  <c r="Q56" i="1"/>
  <c r="G56" i="1"/>
  <c r="T56" i="1"/>
  <c r="R56" i="1"/>
  <c r="P56" i="1"/>
  <c r="O56" i="1"/>
  <c r="N56" i="1"/>
  <c r="M56" i="1"/>
  <c r="L56" i="1"/>
  <c r="K56" i="1"/>
  <c r="J56" i="1"/>
  <c r="I56" i="1"/>
  <c r="T51" i="1"/>
  <c r="F51" i="1"/>
  <c r="K51" i="1"/>
  <c r="P51" i="1"/>
  <c r="R51" i="1"/>
  <c r="G51" i="1"/>
  <c r="I51" i="1"/>
  <c r="N51" i="1"/>
  <c r="S51" i="1"/>
  <c r="L51" i="1"/>
  <c r="M51" i="1"/>
  <c r="O51" i="1"/>
  <c r="H51" i="1"/>
  <c r="J51" i="1"/>
  <c r="Q51" i="1"/>
  <c r="E55" i="1"/>
  <c r="G55" i="1"/>
  <c r="K55" i="1"/>
  <c r="O55" i="1"/>
  <c r="S55" i="1"/>
  <c r="M55" i="1"/>
  <c r="R55" i="1"/>
  <c r="H55" i="1"/>
  <c r="L55" i="1"/>
  <c r="P55" i="1"/>
  <c r="T55" i="1"/>
  <c r="I55" i="1"/>
  <c r="Q55" i="1"/>
  <c r="F55" i="1"/>
  <c r="J55" i="1"/>
  <c r="N55" i="1"/>
  <c r="B54" i="1"/>
  <c r="C25" i="1" l="1"/>
  <c r="O25" i="1" l="1"/>
  <c r="F52" i="1"/>
  <c r="E52" i="1" l="1"/>
  <c r="E53" i="1" s="1"/>
  <c r="F57" i="1"/>
  <c r="E57" i="1"/>
  <c r="G52" i="1" l="1"/>
  <c r="F53" i="1"/>
  <c r="E58" i="1"/>
  <c r="F58" i="1" s="1"/>
  <c r="G57" i="1"/>
  <c r="G53" i="1" l="1"/>
  <c r="E60" i="1"/>
  <c r="H57" i="1"/>
  <c r="G58" i="1"/>
  <c r="E59" i="1"/>
  <c r="I52" i="1" l="1"/>
  <c r="H52" i="1"/>
  <c r="H53" i="1" s="1"/>
  <c r="F60" i="1"/>
  <c r="G60" i="1"/>
  <c r="I57" i="1"/>
  <c r="H58" i="1"/>
  <c r="I53" i="1" l="1"/>
  <c r="I58" i="1"/>
  <c r="J57" i="1"/>
  <c r="H60" i="1"/>
  <c r="J52" i="1" l="1"/>
  <c r="J53" i="1" s="1"/>
  <c r="I60" i="1"/>
  <c r="J58" i="1"/>
  <c r="K52" i="1" l="1"/>
  <c r="K53" i="1" s="1"/>
  <c r="M57" i="1"/>
  <c r="L57" i="1"/>
  <c r="K57" i="1"/>
  <c r="K58" i="1" s="1"/>
  <c r="J60" i="1"/>
  <c r="L52" i="1" l="1"/>
  <c r="L53" i="1" s="1"/>
  <c r="N57" i="1"/>
  <c r="L58" i="1"/>
  <c r="M58" i="1" s="1"/>
  <c r="K60" i="1"/>
  <c r="L60" i="1" l="1"/>
  <c r="M52" i="1"/>
  <c r="O57" i="1"/>
  <c r="N58" i="1"/>
  <c r="N52" i="1" l="1"/>
  <c r="M53" i="1"/>
  <c r="M59" i="1" s="1"/>
  <c r="M60" i="1"/>
  <c r="O58" i="1"/>
  <c r="P57" i="1"/>
  <c r="L59" i="1"/>
  <c r="F59" i="1"/>
  <c r="G59" i="1"/>
  <c r="H59" i="1"/>
  <c r="O52" i="1" l="1"/>
  <c r="N53" i="1"/>
  <c r="N59" i="1" s="1"/>
  <c r="N60" i="1"/>
  <c r="P58" i="1"/>
  <c r="Q57" i="1"/>
  <c r="I59" i="1"/>
  <c r="P52" i="1" l="1"/>
  <c r="O53" i="1"/>
  <c r="O59" i="1" s="1"/>
  <c r="O60" i="1"/>
  <c r="Q58" i="1"/>
  <c r="R57" i="1"/>
  <c r="J59" i="1"/>
  <c r="R58" i="1" l="1"/>
  <c r="Q52" i="1"/>
  <c r="P53" i="1"/>
  <c r="P59" i="1" s="1"/>
  <c r="P60" i="1"/>
  <c r="S57" i="1"/>
  <c r="K59" i="1"/>
  <c r="S58" i="1" l="1"/>
  <c r="Q53" i="1"/>
  <c r="Q60" i="1"/>
  <c r="T57" i="1"/>
  <c r="Q59" i="1" l="1"/>
  <c r="T58" i="1"/>
  <c r="T52" i="1"/>
  <c r="T60" i="1" s="1"/>
  <c r="S52" i="1"/>
  <c r="S60" i="1" l="1"/>
  <c r="R52" i="1"/>
  <c r="R53" i="1" s="1"/>
  <c r="S53" i="1" l="1"/>
  <c r="R59" i="1"/>
  <c r="R60" i="1"/>
  <c r="S59" i="1" l="1"/>
  <c r="T53" i="1"/>
  <c r="T59" i="1" s="1"/>
</calcChain>
</file>

<file path=xl/comments1.xml><?xml version="1.0" encoding="utf-8"?>
<comments xmlns="http://schemas.openxmlformats.org/spreadsheetml/2006/main">
  <authors>
    <author>t038843</author>
  </authors>
  <commentList>
    <comment ref="C13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燃料調整制度、再エネ賦課金を加算してください。</t>
        </r>
      </text>
    </comment>
  </commentList>
</comments>
</file>

<file path=xl/sharedStrings.xml><?xml version="1.0" encoding="utf-8"?>
<sst xmlns="http://schemas.openxmlformats.org/spreadsheetml/2006/main" count="362" uniqueCount="215">
  <si>
    <t>使用本数</t>
    <rPh sb="0" eb="2">
      <t>シヨウ</t>
    </rPh>
    <rPh sb="2" eb="4">
      <t>ホンスウ</t>
    </rPh>
    <phoneticPr fontId="2"/>
  </si>
  <si>
    <t>電気料金</t>
    <rPh sb="0" eb="2">
      <t>デンキ</t>
    </rPh>
    <rPh sb="2" eb="4">
      <t>リョウキン</t>
    </rPh>
    <phoneticPr fontId="5"/>
  </si>
  <si>
    <t>単年度費用</t>
    <rPh sb="0" eb="1">
      <t>タン</t>
    </rPh>
    <rPh sb="1" eb="2">
      <t>ネン</t>
    </rPh>
    <rPh sb="2" eb="3">
      <t>ド</t>
    </rPh>
    <rPh sb="3" eb="5">
      <t>ヒヨウ</t>
    </rPh>
    <phoneticPr fontId="5"/>
  </si>
  <si>
    <t>累計①</t>
    <rPh sb="0" eb="2">
      <t>ルイケイ</t>
    </rPh>
    <phoneticPr fontId="5"/>
  </si>
  <si>
    <t>累計②</t>
    <rPh sb="0" eb="2">
      <t>ルイケイ</t>
    </rPh>
    <phoneticPr fontId="5"/>
  </si>
  <si>
    <t>削減効果</t>
    <rPh sb="0" eb="2">
      <t>サクゲン</t>
    </rPh>
    <rPh sb="2" eb="4">
      <t>コウカ</t>
    </rPh>
    <phoneticPr fontId="5"/>
  </si>
  <si>
    <t>①－②</t>
    <phoneticPr fontId="5"/>
  </si>
  <si>
    <t>単年度削減額</t>
    <rPh sb="0" eb="3">
      <t>タンネンド</t>
    </rPh>
    <rPh sb="3" eb="6">
      <t>サクゲンガク</t>
    </rPh>
    <phoneticPr fontId="5"/>
  </si>
  <si>
    <t>合計</t>
    <rPh sb="0" eb="2">
      <t>ゴウケイ</t>
    </rPh>
    <phoneticPr fontId="2"/>
  </si>
  <si>
    <t>円/年間</t>
    <rPh sb="0" eb="1">
      <t>エン</t>
    </rPh>
    <rPh sb="2" eb="4">
      <t>ネンカン</t>
    </rPh>
    <phoneticPr fontId="2"/>
  </si>
  <si>
    <r>
      <rPr>
        <sz val="9"/>
        <color theme="1"/>
        <rFont val="ＭＳ Ｐゴシック"/>
        <family val="3"/>
        <charset val="128"/>
        <scheme val="minor"/>
      </rPr>
      <t>年間点灯時間</t>
    </r>
    <r>
      <rPr>
        <sz val="10"/>
        <color theme="1"/>
        <rFont val="ＭＳ Ｐゴシック"/>
        <family val="3"/>
        <charset val="128"/>
        <scheme val="minor"/>
      </rPr>
      <t xml:space="preserve">
（H）</t>
    </r>
    <rPh sb="0" eb="2">
      <t>ネンカン</t>
    </rPh>
    <rPh sb="2" eb="4">
      <t>テントウ</t>
    </rPh>
    <rPh sb="4" eb="6">
      <t>ジカン</t>
    </rPh>
    <phoneticPr fontId="2"/>
  </si>
  <si>
    <r>
      <rPr>
        <sz val="9"/>
        <color theme="1"/>
        <rFont val="ＭＳ Ｐゴシック"/>
        <family val="3"/>
        <charset val="128"/>
        <scheme val="minor"/>
      </rPr>
      <t>年間消費電力</t>
    </r>
    <r>
      <rPr>
        <sz val="10"/>
        <color theme="1"/>
        <rFont val="ＭＳ Ｐゴシック"/>
        <family val="3"/>
        <charset val="128"/>
        <scheme val="minor"/>
      </rPr>
      <t xml:space="preserve">
（kwh/年）</t>
    </r>
    <rPh sb="0" eb="2">
      <t>ネンカン</t>
    </rPh>
    <rPh sb="2" eb="4">
      <t>ショウヒ</t>
    </rPh>
    <rPh sb="4" eb="6">
      <t>デンリョク</t>
    </rPh>
    <rPh sb="12" eb="13">
      <t>ネン</t>
    </rPh>
    <phoneticPr fontId="2"/>
  </si>
  <si>
    <t>ランプ種</t>
    <rPh sb="3" eb="4">
      <t>シュ</t>
    </rPh>
    <phoneticPr fontId="2"/>
  </si>
  <si>
    <t>使用数量</t>
    <rPh sb="0" eb="2">
      <t>シヨウ</t>
    </rPh>
    <rPh sb="2" eb="4">
      <t>スウリョウ</t>
    </rPh>
    <phoneticPr fontId="2"/>
  </si>
  <si>
    <t>合計金額（税別）</t>
    <rPh sb="0" eb="2">
      <t>ゴウケイ</t>
    </rPh>
    <rPh sb="2" eb="4">
      <t>キンガク</t>
    </rPh>
    <rPh sb="5" eb="7">
      <t>ゼイベツ</t>
    </rPh>
    <phoneticPr fontId="2"/>
  </si>
  <si>
    <t>備考</t>
    <rPh sb="0" eb="2">
      <t>ビコウ</t>
    </rPh>
    <phoneticPr fontId="2"/>
  </si>
  <si>
    <t>定格寿命（h）</t>
    <rPh sb="0" eb="2">
      <t>テイカク</t>
    </rPh>
    <rPh sb="2" eb="4">
      <t>ジュミョウ</t>
    </rPh>
    <phoneticPr fontId="2"/>
  </si>
  <si>
    <t>-</t>
    <phoneticPr fontId="2"/>
  </si>
  <si>
    <t>総額</t>
    <rPh sb="0" eb="2">
      <t>ソウガク</t>
    </rPh>
    <phoneticPr fontId="2"/>
  </si>
  <si>
    <t>ランプ購入費用</t>
    <rPh sb="3" eb="5">
      <t>コウニュウ</t>
    </rPh>
    <rPh sb="5" eb="7">
      <t>ヒヨウ</t>
    </rPh>
    <phoneticPr fontId="5"/>
  </si>
  <si>
    <t>基本料金</t>
    <rPh sb="0" eb="2">
      <t>キホン</t>
    </rPh>
    <rPh sb="2" eb="4">
      <t>リョウキン</t>
    </rPh>
    <phoneticPr fontId="2"/>
  </si>
  <si>
    <t>【年間削減使用量】</t>
    <rPh sb="1" eb="3">
      <t>ネンカン</t>
    </rPh>
    <rPh sb="3" eb="5">
      <t>サクゲン</t>
    </rPh>
    <rPh sb="5" eb="8">
      <t>シヨウリョウ</t>
    </rPh>
    <phoneticPr fontId="2"/>
  </si>
  <si>
    <t>円</t>
    <rPh sb="0" eb="1">
      <t>エン</t>
    </rPh>
    <phoneticPr fontId="2"/>
  </si>
  <si>
    <t>kw</t>
    <phoneticPr fontId="2"/>
  </si>
  <si>
    <t>ｋｗ</t>
    <phoneticPr fontId="2"/>
  </si>
  <si>
    <t>『コストパフォーマンス』</t>
    <phoneticPr fontId="2"/>
  </si>
  <si>
    <t>基本料金（円/月）</t>
    <rPh sb="5" eb="6">
      <t>エン</t>
    </rPh>
    <rPh sb="7" eb="8">
      <t>ツキ</t>
    </rPh>
    <phoneticPr fontId="2"/>
  </si>
  <si>
    <t>【デマンド削減効果】</t>
    <rPh sb="5" eb="7">
      <t>サクゲン</t>
    </rPh>
    <rPh sb="7" eb="9">
      <t>コウカ</t>
    </rPh>
    <phoneticPr fontId="2"/>
  </si>
  <si>
    <t>ＫＷ</t>
    <phoneticPr fontId="2"/>
  </si>
  <si>
    <t>1日の使用時間（H）</t>
    <rPh sb="1" eb="2">
      <t>ニチ</t>
    </rPh>
    <phoneticPr fontId="2"/>
  </si>
  <si>
    <t>【照明における最大デマンド】</t>
    <rPh sb="1" eb="3">
      <t>ショウメイ</t>
    </rPh>
    <rPh sb="7" eb="9">
      <t>サイダイ</t>
    </rPh>
    <phoneticPr fontId="2"/>
  </si>
  <si>
    <t>様</t>
    <rPh sb="0" eb="1">
      <t>サマ</t>
    </rPh>
    <phoneticPr fontId="2"/>
  </si>
  <si>
    <t>『LEDに更新』</t>
    <rPh sb="5" eb="7">
      <t>コウシン</t>
    </rPh>
    <phoneticPr fontId="2"/>
  </si>
  <si>
    <t>『既設照明』</t>
    <rPh sb="1" eb="3">
      <t>キセツ</t>
    </rPh>
    <rPh sb="3" eb="5">
      <t>ショウメイ</t>
    </rPh>
    <phoneticPr fontId="2"/>
  </si>
  <si>
    <t>ランプ単価
（税別）</t>
    <rPh sb="3" eb="5">
      <t>タンカ</t>
    </rPh>
    <rPh sb="7" eb="9">
      <t>ゼイベツ</t>
    </rPh>
    <phoneticPr fontId="2"/>
  </si>
  <si>
    <t>【基本料金】</t>
    <rPh sb="1" eb="5">
      <t>キホンリョウキン</t>
    </rPh>
    <phoneticPr fontId="2"/>
  </si>
  <si>
    <t>消費電力（W）</t>
    <rPh sb="0" eb="4">
      <t>ショウヒデンリョク</t>
    </rPh>
    <phoneticPr fontId="2"/>
  </si>
  <si>
    <r>
      <t>『既設照明にかかるコスト』　</t>
    </r>
    <r>
      <rPr>
        <b/>
        <sz val="14"/>
        <color rgb="FFFF0000"/>
        <rFont val="ＭＳ Ｐゴシック"/>
        <family val="3"/>
        <charset val="128"/>
        <scheme val="minor"/>
      </rPr>
      <t>ランプ費用のみに限定（ランプの廃棄費用は割愛）</t>
    </r>
    <rPh sb="1" eb="3">
      <t>キセツ</t>
    </rPh>
    <rPh sb="3" eb="5">
      <t>ショウメイ</t>
    </rPh>
    <rPh sb="17" eb="19">
      <t>ヒヨウ</t>
    </rPh>
    <rPh sb="22" eb="24">
      <t>ゲンテイ</t>
    </rPh>
    <rPh sb="29" eb="31">
      <t>ハイキ</t>
    </rPh>
    <rPh sb="31" eb="33">
      <t>ヒヨウ</t>
    </rPh>
    <rPh sb="34" eb="36">
      <t>カツアイ</t>
    </rPh>
    <phoneticPr fontId="2"/>
  </si>
  <si>
    <t>『LEDにかかるコスト』</t>
    <phoneticPr fontId="2"/>
  </si>
  <si>
    <t>※年間平均コストは、球寿命の時間使用した場合にすべて交換するものとして計算（16年間にかかるコスト÷16年）</t>
    <rPh sb="1" eb="5">
      <t>ネンカンヘイキン</t>
    </rPh>
    <rPh sb="10" eb="13">
      <t>タマジュミョウ</t>
    </rPh>
    <rPh sb="14" eb="18">
      <t>ジカンシヨウ</t>
    </rPh>
    <rPh sb="20" eb="22">
      <t>バアイ</t>
    </rPh>
    <rPh sb="26" eb="28">
      <t>コウカン</t>
    </rPh>
    <rPh sb="35" eb="37">
      <t>ケイサン</t>
    </rPh>
    <rPh sb="40" eb="42">
      <t>ネンカン</t>
    </rPh>
    <rPh sb="52" eb="53">
      <t>ネン</t>
    </rPh>
    <phoneticPr fontId="2"/>
  </si>
  <si>
    <t>年/回</t>
    <rPh sb="0" eb="1">
      <t>ネン</t>
    </rPh>
    <rPh sb="2" eb="3">
      <t>カイ</t>
    </rPh>
    <phoneticPr fontId="2"/>
  </si>
  <si>
    <t>交換年数</t>
    <rPh sb="0" eb="2">
      <t>コウカン</t>
    </rPh>
    <rPh sb="2" eb="4">
      <t>ネンスウ</t>
    </rPh>
    <phoneticPr fontId="2"/>
  </si>
  <si>
    <t>点灯方法</t>
    <rPh sb="0" eb="2">
      <t>テントウ</t>
    </rPh>
    <rPh sb="2" eb="4">
      <t>ホウホウ</t>
    </rPh>
    <phoneticPr fontId="2"/>
  </si>
  <si>
    <t>夏季</t>
    <rPh sb="0" eb="2">
      <t>カキ</t>
    </rPh>
    <phoneticPr fontId="2"/>
  </si>
  <si>
    <t>その他季</t>
    <rPh sb="2" eb="3">
      <t>タ</t>
    </rPh>
    <rPh sb="3" eb="4">
      <t>キ</t>
    </rPh>
    <phoneticPr fontId="2"/>
  </si>
  <si>
    <t>点灯方法</t>
    <rPh sb="0" eb="2">
      <t>テントウ</t>
    </rPh>
    <rPh sb="2" eb="4">
      <t>ホウホウ</t>
    </rPh>
    <phoneticPr fontId="2"/>
  </si>
  <si>
    <t>使用日数（日）　夏季</t>
    <rPh sb="0" eb="2">
      <t>シヨウ</t>
    </rPh>
    <rPh sb="2" eb="4">
      <t>ニッスウ</t>
    </rPh>
    <rPh sb="5" eb="6">
      <t>ヒ</t>
    </rPh>
    <rPh sb="8" eb="10">
      <t>カキ</t>
    </rPh>
    <phoneticPr fontId="2"/>
  </si>
  <si>
    <t>その他季　</t>
    <rPh sb="2" eb="3">
      <t>タ</t>
    </rPh>
    <rPh sb="3" eb="4">
      <t>キ</t>
    </rPh>
    <phoneticPr fontId="2"/>
  </si>
  <si>
    <t>年間点灯時間</t>
    <rPh sb="0" eb="2">
      <t>ネンカン</t>
    </rPh>
    <rPh sb="2" eb="4">
      <t>テントウ</t>
    </rPh>
    <rPh sb="4" eb="6">
      <t>ジカン</t>
    </rPh>
    <phoneticPr fontId="2"/>
  </si>
  <si>
    <t>基本料金＝［ランプ総消費電力/1000×使用本数］×基本料金×12ヶ月</t>
    <phoneticPr fontId="2"/>
  </si>
  <si>
    <t>※交換にかかるコストに工事費は含みません</t>
    <phoneticPr fontId="2"/>
  </si>
  <si>
    <t>名称</t>
    <rPh sb="0" eb="2">
      <t>メイショウ</t>
    </rPh>
    <phoneticPr fontId="2"/>
  </si>
  <si>
    <t>型式</t>
    <rPh sb="0" eb="2">
      <t>カタシキ</t>
    </rPh>
    <phoneticPr fontId="2"/>
  </si>
  <si>
    <t>既設灯具1</t>
    <rPh sb="0" eb="2">
      <t>キセツ</t>
    </rPh>
    <rPh sb="2" eb="4">
      <t>トウグ</t>
    </rPh>
    <phoneticPr fontId="5"/>
  </si>
  <si>
    <t>既設灯具2</t>
    <rPh sb="0" eb="2">
      <t>キセツ</t>
    </rPh>
    <rPh sb="2" eb="4">
      <t>トウグ</t>
    </rPh>
    <phoneticPr fontId="5"/>
  </si>
  <si>
    <t>新設灯具1</t>
    <rPh sb="0" eb="2">
      <t>シンセツ</t>
    </rPh>
    <rPh sb="2" eb="4">
      <t>トウグ</t>
    </rPh>
    <phoneticPr fontId="2"/>
  </si>
  <si>
    <t>新設灯具2</t>
    <rPh sb="0" eb="2">
      <t>シンセツ</t>
    </rPh>
    <rPh sb="2" eb="4">
      <t>トウグ</t>
    </rPh>
    <phoneticPr fontId="2"/>
  </si>
  <si>
    <t>-</t>
    <phoneticPr fontId="5"/>
  </si>
  <si>
    <t>その他季 点灯時間</t>
    <rPh sb="2" eb="3">
      <t>タ</t>
    </rPh>
    <rPh sb="3" eb="4">
      <t>キ</t>
    </rPh>
    <rPh sb="5" eb="7">
      <t>テントウ</t>
    </rPh>
    <rPh sb="7" eb="9">
      <t>ジカン</t>
    </rPh>
    <phoneticPr fontId="2"/>
  </si>
  <si>
    <t>夏季       点灯時間</t>
    <rPh sb="0" eb="2">
      <t>カキ</t>
    </rPh>
    <rPh sb="9" eb="11">
      <t>テントウ</t>
    </rPh>
    <rPh sb="11" eb="13">
      <t>ジカン</t>
    </rPh>
    <phoneticPr fontId="2"/>
  </si>
  <si>
    <t>【年間削減電気料金】</t>
    <rPh sb="1" eb="3">
      <t>ネンカン</t>
    </rPh>
    <rPh sb="3" eb="5">
      <t>サクゲン</t>
    </rPh>
    <rPh sb="5" eb="7">
      <t>デンキ</t>
    </rPh>
    <rPh sb="7" eb="9">
      <t>リョウキン</t>
    </rPh>
    <phoneticPr fontId="2"/>
  </si>
  <si>
    <t>電気料金メニュー</t>
    <rPh sb="0" eb="2">
      <t>デンキ</t>
    </rPh>
    <rPh sb="2" eb="4">
      <t>リョウキン</t>
    </rPh>
    <phoneticPr fontId="5"/>
  </si>
  <si>
    <t>電気
事業社</t>
    <rPh sb="0" eb="2">
      <t>デンキ</t>
    </rPh>
    <rPh sb="3" eb="5">
      <t>ジギョウ</t>
    </rPh>
    <rPh sb="5" eb="6">
      <t>シャ</t>
    </rPh>
    <phoneticPr fontId="2"/>
  </si>
  <si>
    <t>料金メニュ</t>
    <rPh sb="0" eb="2">
      <t>リョウキン</t>
    </rPh>
    <phoneticPr fontId="5"/>
  </si>
  <si>
    <t>基本料金
（円/kw）</t>
    <rPh sb="0" eb="2">
      <t>キホン</t>
    </rPh>
    <rPh sb="2" eb="4">
      <t>リョウキン</t>
    </rPh>
    <rPh sb="6" eb="7">
      <t>エン</t>
    </rPh>
    <phoneticPr fontId="5"/>
  </si>
  <si>
    <t>電力量料金（円/kwh）</t>
    <rPh sb="0" eb="2">
      <t>デンリョク</t>
    </rPh>
    <rPh sb="2" eb="3">
      <t>リョウ</t>
    </rPh>
    <rPh sb="3" eb="5">
      <t>リョウキン</t>
    </rPh>
    <rPh sb="6" eb="7">
      <t>エン</t>
    </rPh>
    <phoneticPr fontId="5"/>
  </si>
  <si>
    <t>夏季</t>
    <rPh sb="0" eb="2">
      <t>カキ</t>
    </rPh>
    <phoneticPr fontId="5"/>
  </si>
  <si>
    <t>その他季</t>
    <rPh sb="2" eb="3">
      <t>ホカ</t>
    </rPh>
    <rPh sb="3" eb="4">
      <t>キ</t>
    </rPh>
    <phoneticPr fontId="5"/>
  </si>
  <si>
    <t>高圧電力</t>
    <rPh sb="0" eb="4">
      <t>コウアツデンリョク</t>
    </rPh>
    <phoneticPr fontId="2"/>
  </si>
  <si>
    <t>業務用電力（500W以上）</t>
    <rPh sb="0" eb="3">
      <t>ギョウムヨウ</t>
    </rPh>
    <rPh sb="3" eb="5">
      <t>デンリョク</t>
    </rPh>
    <rPh sb="10" eb="12">
      <t>イジョウ</t>
    </rPh>
    <phoneticPr fontId="5"/>
  </si>
  <si>
    <t>業務用電力（500W未満）</t>
    <rPh sb="0" eb="3">
      <t>ギョウムヨウ</t>
    </rPh>
    <rPh sb="3" eb="5">
      <t>デンリョク</t>
    </rPh>
    <rPh sb="10" eb="12">
      <t>ミマン</t>
    </rPh>
    <phoneticPr fontId="5"/>
  </si>
  <si>
    <t>高圧電力A（500kw未満）</t>
    <rPh sb="0" eb="2">
      <t>コウアツ</t>
    </rPh>
    <rPh sb="2" eb="4">
      <t>デンリョク</t>
    </rPh>
    <rPh sb="11" eb="13">
      <t>ミマン</t>
    </rPh>
    <phoneticPr fontId="5"/>
  </si>
  <si>
    <t>高圧電力（500kw以上）</t>
    <rPh sb="0" eb="2">
      <t>コウアツ</t>
    </rPh>
    <rPh sb="2" eb="4">
      <t>デンリョク</t>
    </rPh>
    <rPh sb="10" eb="12">
      <t>イジョウ</t>
    </rPh>
    <phoneticPr fontId="5"/>
  </si>
  <si>
    <t>業務用電力（500kW以上）</t>
    <rPh sb="0" eb="5">
      <t>ギョウムヨウデンリョク</t>
    </rPh>
    <rPh sb="11" eb="13">
      <t>イジョウ</t>
    </rPh>
    <phoneticPr fontId="2"/>
  </si>
  <si>
    <t>低圧電力</t>
    <rPh sb="0" eb="4">
      <t>テイアツデンリョク</t>
    </rPh>
    <phoneticPr fontId="2"/>
  </si>
  <si>
    <t>業務用電力（500kW未満）</t>
    <rPh sb="0" eb="3">
      <t>ギョウムヨウ</t>
    </rPh>
    <rPh sb="3" eb="5">
      <t>デンリョク</t>
    </rPh>
    <rPh sb="11" eb="13">
      <t>ミマン</t>
    </rPh>
    <phoneticPr fontId="2"/>
  </si>
  <si>
    <t>その他</t>
    <rPh sb="2" eb="3">
      <t>タ</t>
    </rPh>
    <phoneticPr fontId="5"/>
  </si>
  <si>
    <t>燃料調整費（H26.12月）</t>
    <rPh sb="0" eb="2">
      <t>ネンリョウ</t>
    </rPh>
    <rPh sb="2" eb="4">
      <t>チョウセイ</t>
    </rPh>
    <rPh sb="4" eb="5">
      <t>ヒ</t>
    </rPh>
    <rPh sb="12" eb="13">
      <t>ガツ</t>
    </rPh>
    <phoneticPr fontId="5"/>
  </si>
  <si>
    <t>北電（円/kwh）</t>
    <rPh sb="0" eb="1">
      <t>キタ</t>
    </rPh>
    <rPh sb="1" eb="2">
      <t>デン</t>
    </rPh>
    <rPh sb="3" eb="4">
      <t>エン</t>
    </rPh>
    <phoneticPr fontId="5"/>
  </si>
  <si>
    <t>東電（円/kwh）</t>
    <rPh sb="0" eb="2">
      <t>トウデン</t>
    </rPh>
    <rPh sb="3" eb="4">
      <t>エン</t>
    </rPh>
    <phoneticPr fontId="5"/>
  </si>
  <si>
    <t>東北（円/kwh）</t>
    <rPh sb="0" eb="2">
      <t>トウホク</t>
    </rPh>
    <rPh sb="3" eb="4">
      <t>エン</t>
    </rPh>
    <phoneticPr fontId="5"/>
  </si>
  <si>
    <t>中電（円/kwh）</t>
    <rPh sb="0" eb="2">
      <t>チュウデン</t>
    </rPh>
    <rPh sb="3" eb="4">
      <t>エン</t>
    </rPh>
    <phoneticPr fontId="5"/>
  </si>
  <si>
    <t>関電（円/kwh）</t>
    <rPh sb="0" eb="2">
      <t>カンデン</t>
    </rPh>
    <rPh sb="3" eb="4">
      <t>エン</t>
    </rPh>
    <phoneticPr fontId="5"/>
  </si>
  <si>
    <t>中国（円/kwh）</t>
    <rPh sb="0" eb="2">
      <t>チュウゴク</t>
    </rPh>
    <rPh sb="3" eb="4">
      <t>エン</t>
    </rPh>
    <phoneticPr fontId="5"/>
  </si>
  <si>
    <t>四国（円/kwh）</t>
    <rPh sb="0" eb="2">
      <t>シコク</t>
    </rPh>
    <rPh sb="3" eb="4">
      <t>エン</t>
    </rPh>
    <phoneticPr fontId="5"/>
  </si>
  <si>
    <t>九電（円/kwh）</t>
    <rPh sb="0" eb="2">
      <t>キュウデン</t>
    </rPh>
    <rPh sb="3" eb="4">
      <t>エン</t>
    </rPh>
    <phoneticPr fontId="5"/>
  </si>
  <si>
    <t>沖縄（円/kwh）</t>
    <rPh sb="0" eb="2">
      <t>オキナワ</t>
    </rPh>
    <rPh sb="3" eb="4">
      <t>エン</t>
    </rPh>
    <phoneticPr fontId="5"/>
  </si>
  <si>
    <t>低圧</t>
    <rPh sb="0" eb="2">
      <t>テイアツ</t>
    </rPh>
    <phoneticPr fontId="5"/>
  </si>
  <si>
    <t>高圧</t>
    <rPh sb="0" eb="2">
      <t>コウアツ</t>
    </rPh>
    <phoneticPr fontId="5"/>
  </si>
  <si>
    <t>特高</t>
    <rPh sb="0" eb="2">
      <t>トッコウ</t>
    </rPh>
    <phoneticPr fontId="5"/>
  </si>
  <si>
    <t>再生可能エネルギー賦課金（H26.5~H27.4）</t>
    <rPh sb="0" eb="2">
      <t>サイセイ</t>
    </rPh>
    <rPh sb="2" eb="4">
      <t>カノウ</t>
    </rPh>
    <rPh sb="9" eb="12">
      <t>フカキン</t>
    </rPh>
    <phoneticPr fontId="5"/>
  </si>
  <si>
    <t>基準＋燃料調整制度＋再エネ</t>
    <rPh sb="0" eb="2">
      <t>キジュン</t>
    </rPh>
    <rPh sb="3" eb="5">
      <t>ネンリョウ</t>
    </rPh>
    <rPh sb="5" eb="7">
      <t>チョウセイ</t>
    </rPh>
    <rPh sb="7" eb="9">
      <t>セイド</t>
    </rPh>
    <rPh sb="10" eb="11">
      <t>サイ</t>
    </rPh>
    <phoneticPr fontId="5"/>
  </si>
  <si>
    <t>料金メニュ-</t>
    <rPh sb="0" eb="2">
      <t>リョウキン</t>
    </rPh>
    <phoneticPr fontId="5"/>
  </si>
  <si>
    <t>東電：従量電灯</t>
    <rPh sb="0" eb="2">
      <t>トウデン</t>
    </rPh>
    <rPh sb="3" eb="5">
      <t>ジュウリョウ</t>
    </rPh>
    <rPh sb="5" eb="7">
      <t>デントウ</t>
    </rPh>
    <phoneticPr fontId="5"/>
  </si>
  <si>
    <t>東電：特別高圧B（20KV）</t>
    <rPh sb="0" eb="2">
      <t>トウデン</t>
    </rPh>
    <rPh sb="3" eb="5">
      <t>トクベツ</t>
    </rPh>
    <rPh sb="5" eb="7">
      <t>コウアツ</t>
    </rPh>
    <phoneticPr fontId="5"/>
  </si>
  <si>
    <t>東電：特別高圧B（60KV）</t>
    <rPh sb="0" eb="2">
      <t>トウデン</t>
    </rPh>
    <rPh sb="3" eb="5">
      <t>トクベツ</t>
    </rPh>
    <rPh sb="5" eb="7">
      <t>コウアツ</t>
    </rPh>
    <phoneticPr fontId="5"/>
  </si>
  <si>
    <t>東電：特別高圧B（140KV）</t>
    <rPh sb="0" eb="2">
      <t>トウデン</t>
    </rPh>
    <rPh sb="3" eb="5">
      <t>トクベツ</t>
    </rPh>
    <rPh sb="5" eb="7">
      <t>コウアツ</t>
    </rPh>
    <phoneticPr fontId="5"/>
  </si>
  <si>
    <t>東電：業務用電力（500W以上）</t>
    <rPh sb="0" eb="2">
      <t>トウデン</t>
    </rPh>
    <rPh sb="3" eb="6">
      <t>ギョウムヨウ</t>
    </rPh>
    <rPh sb="6" eb="8">
      <t>デンリョク</t>
    </rPh>
    <rPh sb="13" eb="15">
      <t>イジョウ</t>
    </rPh>
    <phoneticPr fontId="5"/>
  </si>
  <si>
    <t>東電：業務用電力（500W未満）</t>
    <rPh sb="0" eb="2">
      <t>トウデン</t>
    </rPh>
    <rPh sb="3" eb="6">
      <t>ギョウムヨウ</t>
    </rPh>
    <rPh sb="6" eb="8">
      <t>デンリョク</t>
    </rPh>
    <rPh sb="13" eb="15">
      <t>ミマン</t>
    </rPh>
    <phoneticPr fontId="5"/>
  </si>
  <si>
    <t>東電：高圧電力A（500kw未満）</t>
    <rPh sb="0" eb="2">
      <t>トウデン</t>
    </rPh>
    <rPh sb="3" eb="5">
      <t>コウアツ</t>
    </rPh>
    <rPh sb="5" eb="7">
      <t>デンリョク</t>
    </rPh>
    <rPh sb="14" eb="16">
      <t>ミマン</t>
    </rPh>
    <phoneticPr fontId="5"/>
  </si>
  <si>
    <t>東電：高圧電力（500kw以上）</t>
    <rPh sb="0" eb="2">
      <t>トウデン</t>
    </rPh>
    <rPh sb="3" eb="5">
      <t>コウアツ</t>
    </rPh>
    <rPh sb="5" eb="7">
      <t>デンリョク</t>
    </rPh>
    <rPh sb="13" eb="15">
      <t>イジョウ</t>
    </rPh>
    <phoneticPr fontId="5"/>
  </si>
  <si>
    <t>中電：従量電灯</t>
    <rPh sb="0" eb="2">
      <t>チュウデン</t>
    </rPh>
    <rPh sb="3" eb="5">
      <t>ジュウリョウ</t>
    </rPh>
    <rPh sb="5" eb="7">
      <t>デントウ</t>
    </rPh>
    <phoneticPr fontId="5"/>
  </si>
  <si>
    <t>中電：特別高圧第2種B（20KV）</t>
    <rPh sb="3" eb="5">
      <t>トクベツ</t>
    </rPh>
    <rPh sb="5" eb="7">
      <t>コウアツ</t>
    </rPh>
    <rPh sb="7" eb="8">
      <t>ダイ</t>
    </rPh>
    <rPh sb="9" eb="10">
      <t>シュ</t>
    </rPh>
    <phoneticPr fontId="5"/>
  </si>
  <si>
    <t>中電：特別高圧第2種B（70KV）</t>
    <rPh sb="3" eb="5">
      <t>トクベツ</t>
    </rPh>
    <rPh sb="5" eb="7">
      <t>コウアツ</t>
    </rPh>
    <rPh sb="7" eb="8">
      <t>ダイ</t>
    </rPh>
    <rPh sb="9" eb="10">
      <t>シュ</t>
    </rPh>
    <phoneticPr fontId="5"/>
  </si>
  <si>
    <t>中電：特別高圧第2種B（140KV）</t>
    <rPh sb="3" eb="5">
      <t>トクベツ</t>
    </rPh>
    <rPh sb="5" eb="7">
      <t>コウアツ</t>
    </rPh>
    <rPh sb="7" eb="8">
      <t>ダイ</t>
    </rPh>
    <rPh sb="9" eb="10">
      <t>シュ</t>
    </rPh>
    <phoneticPr fontId="5"/>
  </si>
  <si>
    <t>中電：高圧業務用FRプランA（500W以上）</t>
    <rPh sb="3" eb="5">
      <t>コウアツ</t>
    </rPh>
    <rPh sb="5" eb="8">
      <t>ギョウムヨウ</t>
    </rPh>
    <rPh sb="19" eb="21">
      <t>イジョウ</t>
    </rPh>
    <phoneticPr fontId="5"/>
  </si>
  <si>
    <t>中電：高圧業務用FRプランC（500W未満）</t>
    <rPh sb="3" eb="5">
      <t>コウアツ</t>
    </rPh>
    <rPh sb="5" eb="8">
      <t>ギョウムヨウ</t>
    </rPh>
    <rPh sb="19" eb="21">
      <t>ミマン</t>
    </rPh>
    <phoneticPr fontId="5"/>
  </si>
  <si>
    <t>中電：高圧プランH（500kw未満）</t>
    <rPh sb="3" eb="5">
      <t>コウアツ</t>
    </rPh>
    <rPh sb="15" eb="17">
      <t>ミマン</t>
    </rPh>
    <phoneticPr fontId="5"/>
  </si>
  <si>
    <t>中電：高圧プラン第2種A（500kw以上）</t>
    <rPh sb="3" eb="5">
      <t>コウアツ</t>
    </rPh>
    <rPh sb="8" eb="9">
      <t>ダイ</t>
    </rPh>
    <rPh sb="10" eb="11">
      <t>シュ</t>
    </rPh>
    <rPh sb="18" eb="20">
      <t>イジョウ</t>
    </rPh>
    <phoneticPr fontId="5"/>
  </si>
  <si>
    <t>電気事業者</t>
    <rPh sb="0" eb="5">
      <t>デンキジギョウシャ</t>
    </rPh>
    <phoneticPr fontId="2"/>
  </si>
  <si>
    <t>北海道電力</t>
    <rPh sb="0" eb="3">
      <t>ホッカイドウ</t>
    </rPh>
    <rPh sb="3" eb="5">
      <t>デンリョク</t>
    </rPh>
    <phoneticPr fontId="2"/>
  </si>
  <si>
    <t>東京電力</t>
    <rPh sb="0" eb="4">
      <t>トウキョウデンリョク</t>
    </rPh>
    <phoneticPr fontId="2"/>
  </si>
  <si>
    <t>東北電力</t>
    <rPh sb="0" eb="4">
      <t>トウホクデンリョク</t>
    </rPh>
    <phoneticPr fontId="2"/>
  </si>
  <si>
    <t>中部電力</t>
    <rPh sb="0" eb="4">
      <t>チュウブデンリョク</t>
    </rPh>
    <phoneticPr fontId="2"/>
  </si>
  <si>
    <t>北陸電力</t>
    <rPh sb="0" eb="4">
      <t>ホクリクデンリョク</t>
    </rPh>
    <phoneticPr fontId="2"/>
  </si>
  <si>
    <t>関西電力</t>
    <rPh sb="0" eb="4">
      <t>カンサイデンリョク</t>
    </rPh>
    <phoneticPr fontId="2"/>
  </si>
  <si>
    <t>中国電力</t>
    <rPh sb="0" eb="4">
      <t>チュウゴクデンリョク</t>
    </rPh>
    <phoneticPr fontId="2"/>
  </si>
  <si>
    <t>四国電力</t>
    <rPh sb="0" eb="4">
      <t>シコクデンリョク</t>
    </rPh>
    <phoneticPr fontId="2"/>
  </si>
  <si>
    <t>九州電力</t>
    <rPh sb="0" eb="4">
      <t>キュウシュウデンリョク</t>
    </rPh>
    <phoneticPr fontId="2"/>
  </si>
  <si>
    <t>沖縄電力</t>
    <rPh sb="0" eb="2">
      <t>オキナワ</t>
    </rPh>
    <rPh sb="2" eb="4">
      <t>デンリョク</t>
    </rPh>
    <phoneticPr fontId="2"/>
  </si>
  <si>
    <t>基本料金</t>
    <rPh sb="0" eb="4">
      <t>キホンリョウキン</t>
    </rPh>
    <phoneticPr fontId="2"/>
  </si>
  <si>
    <t>直接入力</t>
    <rPh sb="0" eb="2">
      <t>チョクセツ</t>
    </rPh>
    <rPh sb="2" eb="4">
      <t>ニュウリョク</t>
    </rPh>
    <phoneticPr fontId="5"/>
  </si>
  <si>
    <t>電力単価（円/ｋｗ）</t>
    <rPh sb="5" eb="6">
      <t>エン</t>
    </rPh>
    <phoneticPr fontId="2"/>
  </si>
  <si>
    <t>高圧電力I型</t>
    <rPh sb="0" eb="4">
      <t>コウアツデンリョク</t>
    </rPh>
    <rPh sb="5" eb="6">
      <t>ガタ</t>
    </rPh>
    <phoneticPr fontId="2"/>
  </si>
  <si>
    <t>業務用電力</t>
    <rPh sb="0" eb="5">
      <t>ギョウムヨウデンリョク</t>
    </rPh>
    <phoneticPr fontId="2"/>
  </si>
  <si>
    <t>高圧電力Ⅱ型</t>
    <rPh sb="0" eb="4">
      <t>コウアツデンリョク</t>
    </rPh>
    <rPh sb="5" eb="6">
      <t>ガタ</t>
    </rPh>
    <phoneticPr fontId="2"/>
  </si>
  <si>
    <t>高圧電力Ⅲ型</t>
    <rPh sb="0" eb="4">
      <t>コウアツデンリョク</t>
    </rPh>
    <rPh sb="5" eb="6">
      <t>ガタ</t>
    </rPh>
    <phoneticPr fontId="2"/>
  </si>
  <si>
    <t>業務用電力（30,000V）</t>
    <rPh sb="0" eb="5">
      <t>ギョウムヨウデンリョク</t>
    </rPh>
    <phoneticPr fontId="2"/>
  </si>
  <si>
    <t>特別高圧電力（30,000V）</t>
    <rPh sb="0" eb="2">
      <t>トクベツ</t>
    </rPh>
    <rPh sb="2" eb="4">
      <t>コウアツ</t>
    </rPh>
    <rPh sb="4" eb="6">
      <t>デンリョク</t>
    </rPh>
    <phoneticPr fontId="2"/>
  </si>
  <si>
    <t>業務用電力（60,000V）</t>
    <rPh sb="0" eb="3">
      <t>ギョウムヨウ</t>
    </rPh>
    <rPh sb="3" eb="5">
      <t>デンリョク</t>
    </rPh>
    <phoneticPr fontId="2"/>
  </si>
  <si>
    <t>特別高圧電力（60,000V）</t>
    <rPh sb="0" eb="2">
      <t>トクベツ</t>
    </rPh>
    <rPh sb="2" eb="4">
      <t>コウアツ</t>
    </rPh>
    <rPh sb="4" eb="6">
      <t>デンリョク</t>
    </rPh>
    <phoneticPr fontId="2"/>
  </si>
  <si>
    <t>特別高圧電力A（60kV）</t>
    <rPh sb="0" eb="6">
      <t>トクベツコウアツデンリョク</t>
    </rPh>
    <phoneticPr fontId="2"/>
  </si>
  <si>
    <t>特別高圧電力A（20kV）</t>
    <rPh sb="0" eb="6">
      <t>トクベツコウアツデンリョク</t>
    </rPh>
    <phoneticPr fontId="2"/>
  </si>
  <si>
    <t>特別高圧電力B（20kV）</t>
    <rPh sb="0" eb="2">
      <t>トクベツ</t>
    </rPh>
    <rPh sb="2" eb="4">
      <t>コウアツ</t>
    </rPh>
    <rPh sb="4" eb="6">
      <t>デンリョク</t>
    </rPh>
    <phoneticPr fontId="5"/>
  </si>
  <si>
    <t>特別高圧電力B（60kV）</t>
    <rPh sb="0" eb="2">
      <t>トクベツ</t>
    </rPh>
    <rPh sb="2" eb="4">
      <t>コウアツ</t>
    </rPh>
    <rPh sb="4" eb="6">
      <t>デンリョク</t>
    </rPh>
    <phoneticPr fontId="5"/>
  </si>
  <si>
    <t>特別高圧電力B（140kV）</t>
    <rPh sb="0" eb="2">
      <t>トクベツ</t>
    </rPh>
    <rPh sb="2" eb="4">
      <t>コウアツ</t>
    </rPh>
    <rPh sb="4" eb="6">
      <t>デンリョク</t>
    </rPh>
    <phoneticPr fontId="5"/>
  </si>
  <si>
    <t>業務用電力</t>
    <rPh sb="0" eb="3">
      <t>ギョウムヨウ</t>
    </rPh>
    <rPh sb="3" eb="5">
      <t>デンリョク</t>
    </rPh>
    <phoneticPr fontId="5"/>
  </si>
  <si>
    <t>高圧電力</t>
    <rPh sb="0" eb="2">
      <t>コウアツ</t>
    </rPh>
    <rPh sb="2" eb="4">
      <t>デンリョク</t>
    </rPh>
    <phoneticPr fontId="2"/>
  </si>
  <si>
    <t>高圧電力S</t>
    <rPh sb="0" eb="4">
      <t>コウアツデンリョク</t>
    </rPh>
    <phoneticPr fontId="2"/>
  </si>
  <si>
    <t>特別高圧電力B（30,000V）</t>
    <rPh sb="0" eb="4">
      <t>トクベツコウアツ</t>
    </rPh>
    <rPh sb="4" eb="6">
      <t>デンリョク</t>
    </rPh>
    <phoneticPr fontId="2"/>
  </si>
  <si>
    <t>特別高圧電力B（60,000V）</t>
    <rPh sb="0" eb="4">
      <t>トクベツコウアツ</t>
    </rPh>
    <rPh sb="4" eb="6">
      <t>デンリョク</t>
    </rPh>
    <phoneticPr fontId="2"/>
  </si>
  <si>
    <t>特別高圧電力B（140,000V)</t>
    <rPh sb="0" eb="4">
      <t>トクベツコウアツ</t>
    </rPh>
    <rPh sb="4" eb="6">
      <t>デンリョク</t>
    </rPh>
    <phoneticPr fontId="2"/>
  </si>
  <si>
    <t>特別高圧電力A（30,000V）</t>
    <rPh sb="0" eb="4">
      <t>トクベツコウアツ</t>
    </rPh>
    <rPh sb="4" eb="6">
      <t>デンリョク</t>
    </rPh>
    <phoneticPr fontId="2"/>
  </si>
  <si>
    <t>特別高圧電力A（60,000V）</t>
    <rPh sb="0" eb="4">
      <t>トクベツコウアツ</t>
    </rPh>
    <rPh sb="4" eb="6">
      <t>デンリョク</t>
    </rPh>
    <phoneticPr fontId="2"/>
  </si>
  <si>
    <t>高圧電力第2種　プランL</t>
    <rPh sb="0" eb="4">
      <t>コウアツデンリョク</t>
    </rPh>
    <rPh sb="4" eb="5">
      <t>ダイ</t>
    </rPh>
    <rPh sb="6" eb="7">
      <t>シュ</t>
    </rPh>
    <phoneticPr fontId="2"/>
  </si>
  <si>
    <t>高圧電力第2種　プランH</t>
    <rPh sb="0" eb="4">
      <t>コウアツデンリョク</t>
    </rPh>
    <rPh sb="4" eb="5">
      <t>ダイ</t>
    </rPh>
    <rPh sb="6" eb="7">
      <t>シュ</t>
    </rPh>
    <phoneticPr fontId="2"/>
  </si>
  <si>
    <t>高圧電力第2種　プランA</t>
    <rPh sb="0" eb="4">
      <t>コウアツデンリョク</t>
    </rPh>
    <rPh sb="4" eb="5">
      <t>ダイ</t>
    </rPh>
    <rPh sb="6" eb="7">
      <t>シュ</t>
    </rPh>
    <phoneticPr fontId="2"/>
  </si>
  <si>
    <t>高圧電力第2種　プランB</t>
    <rPh sb="0" eb="4">
      <t>コウアツデンリョク</t>
    </rPh>
    <rPh sb="4" eb="5">
      <t>ダイ</t>
    </rPh>
    <rPh sb="6" eb="7">
      <t>シュ</t>
    </rPh>
    <phoneticPr fontId="2"/>
  </si>
  <si>
    <t>特別高圧電力第2種　20kVまたは30kV　プランA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</si>
  <si>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20kVまたは30kV　プランB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</si>
  <si>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70kV　プランA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</si>
  <si>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70kV　プランB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</si>
  <si>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140kV　プランA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</si>
  <si>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特別高圧電力第2種　140kV　プランB</t>
    <rPh sb="0" eb="2">
      <t>トクベツ</t>
    </rPh>
    <rPh sb="2" eb="4">
      <t>コウアツ</t>
    </rPh>
    <rPh sb="4" eb="6">
      <t>デンリョク</t>
    </rPh>
    <rPh sb="6" eb="7">
      <t>ダイ</t>
    </rPh>
    <rPh sb="8" eb="9">
      <t>シュ</t>
    </rPh>
    <phoneticPr fontId="2"/>
  </si>
  <si>
    <t>高圧業務用電力FR　プランA</t>
    <rPh sb="0" eb="2">
      <t>コウアツ</t>
    </rPh>
    <rPh sb="2" eb="5">
      <t>ギョウムヨウ</t>
    </rPh>
    <rPh sb="5" eb="7">
      <t>デンリョク</t>
    </rPh>
    <phoneticPr fontId="2"/>
  </si>
  <si>
    <t>高圧業務用電力FR　プランB</t>
    <rPh sb="0" eb="2">
      <t>コウアツ</t>
    </rPh>
    <rPh sb="2" eb="5">
      <t>ギョウムヨウ</t>
    </rPh>
    <rPh sb="5" eb="7">
      <t>デンリョク</t>
    </rPh>
    <phoneticPr fontId="2"/>
  </si>
  <si>
    <t>高圧業務用電力FR　プランC</t>
    <rPh sb="0" eb="2">
      <t>コウアツ</t>
    </rPh>
    <rPh sb="2" eb="5">
      <t>ギョウムヨウ</t>
    </rPh>
    <rPh sb="5" eb="7">
      <t>デンリョク</t>
    </rPh>
    <phoneticPr fontId="2"/>
  </si>
  <si>
    <t>業務用プランA</t>
    <rPh sb="0" eb="3">
      <t>ギョウムヨウ</t>
    </rPh>
    <phoneticPr fontId="2"/>
  </si>
  <si>
    <t>業務用プランB</t>
    <rPh sb="0" eb="3">
      <t>ギョウムヨウ</t>
    </rPh>
    <phoneticPr fontId="2"/>
  </si>
  <si>
    <t>業務用プランC</t>
    <rPh sb="0" eb="3">
      <t>ギョウムヨウ</t>
    </rPh>
    <phoneticPr fontId="2"/>
  </si>
  <si>
    <t>特別高圧業務用電力　第2種　20kVまたは30kV　プランA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</si>
  <si>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20kVまたは30kV　プランB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</si>
  <si>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20kVまたは30kV　プランC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</si>
  <si>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70kV　プランA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</si>
  <si>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70kV　プランB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</si>
  <si>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特別高圧業務用電力　第2種　70kV　プランC</t>
    <rPh sb="0" eb="2">
      <t>トクベツ</t>
    </rPh>
    <rPh sb="2" eb="4">
      <t>コウアツ</t>
    </rPh>
    <rPh sb="4" eb="7">
      <t>ギョウムヨウ</t>
    </rPh>
    <rPh sb="7" eb="9">
      <t>デンリョク</t>
    </rPh>
    <rPh sb="10" eb="11">
      <t>ダイ</t>
    </rPh>
    <rPh sb="12" eb="13">
      <t>シュ</t>
    </rPh>
    <phoneticPr fontId="2"/>
  </si>
  <si>
    <t>高圧電力A</t>
    <rPh sb="0" eb="2">
      <t>コウアツ</t>
    </rPh>
    <rPh sb="2" eb="4">
      <t>デンリョク</t>
    </rPh>
    <phoneticPr fontId="2"/>
  </si>
  <si>
    <t>高圧電力B</t>
    <rPh sb="0" eb="2">
      <t>コウアツ</t>
    </rPh>
    <rPh sb="2" eb="4">
      <t>デンリョク</t>
    </rPh>
    <phoneticPr fontId="2"/>
  </si>
  <si>
    <t>H28.5.31まで</t>
    <phoneticPr fontId="2"/>
  </si>
  <si>
    <t>H28.6.1から</t>
    <phoneticPr fontId="2"/>
  </si>
  <si>
    <t>業務用特別高圧電力</t>
    <rPh sb="0" eb="3">
      <t>ギョウムヨウ</t>
    </rPh>
    <rPh sb="3" eb="5">
      <t>トクベツ</t>
    </rPh>
    <rPh sb="5" eb="7">
      <t>コウアツ</t>
    </rPh>
    <rPh sb="7" eb="9">
      <t>デンリョク</t>
    </rPh>
    <phoneticPr fontId="2"/>
  </si>
  <si>
    <t>特別高圧電力</t>
    <rPh sb="0" eb="2">
      <t>トクベツ</t>
    </rPh>
    <rPh sb="2" eb="4">
      <t>コウアツ</t>
    </rPh>
    <rPh sb="4" eb="6">
      <t>デンリョク</t>
    </rPh>
    <phoneticPr fontId="2"/>
  </si>
  <si>
    <t>高圧電力AS</t>
    <rPh sb="0" eb="2">
      <t>コウアツ</t>
    </rPh>
    <rPh sb="2" eb="4">
      <t>デンリョク</t>
    </rPh>
    <phoneticPr fontId="2"/>
  </si>
  <si>
    <t>高圧電力BS</t>
    <rPh sb="0" eb="2">
      <t>コウアツ</t>
    </rPh>
    <rPh sb="2" eb="4">
      <t>デンリョク</t>
    </rPh>
    <phoneticPr fontId="2"/>
  </si>
  <si>
    <t>高圧電力AL</t>
    <rPh sb="0" eb="2">
      <t>コウアツ</t>
    </rPh>
    <rPh sb="2" eb="4">
      <t>デンリョク</t>
    </rPh>
    <phoneticPr fontId="5"/>
  </si>
  <si>
    <t>高圧電力BL</t>
    <rPh sb="0" eb="2">
      <t>コウアツ</t>
    </rPh>
    <rPh sb="2" eb="4">
      <t>デンリョク</t>
    </rPh>
    <phoneticPr fontId="5"/>
  </si>
  <si>
    <t>特別高圧電力A（20,000Vまたは30,000V供給）</t>
    <rPh sb="0" eb="2">
      <t>トクベツ</t>
    </rPh>
    <rPh sb="2" eb="4">
      <t>コウアツ</t>
    </rPh>
    <rPh sb="4" eb="6">
      <t>デンリョク</t>
    </rPh>
    <rPh sb="25" eb="27">
      <t>キョウキュウ</t>
    </rPh>
    <phoneticPr fontId="2"/>
  </si>
  <si>
    <t>特別高圧電力A（70,000V供給）</t>
    <rPh sb="0" eb="2">
      <t>トクベツ</t>
    </rPh>
    <rPh sb="2" eb="4">
      <t>コウアツ</t>
    </rPh>
    <rPh sb="4" eb="6">
      <t>デンリョク</t>
    </rPh>
    <rPh sb="15" eb="17">
      <t>キョウキュウ</t>
    </rPh>
    <phoneticPr fontId="2"/>
  </si>
  <si>
    <t>特別高圧電力B（20,000Vまたは30,000V供給）</t>
    <rPh sb="0" eb="2">
      <t>トクベツ</t>
    </rPh>
    <rPh sb="2" eb="4">
      <t>コウアツ</t>
    </rPh>
    <rPh sb="4" eb="6">
      <t>デンリョク</t>
    </rPh>
    <rPh sb="25" eb="27">
      <t>キョウキュウ</t>
    </rPh>
    <phoneticPr fontId="2"/>
  </si>
  <si>
    <t>特別高圧電力B（70,000V供給）</t>
    <rPh sb="0" eb="2">
      <t>トクベツ</t>
    </rPh>
    <rPh sb="2" eb="4">
      <t>コウアツ</t>
    </rPh>
    <rPh sb="4" eb="6">
      <t>デンリョク</t>
    </rPh>
    <rPh sb="15" eb="17">
      <t>キョウキュウ</t>
    </rPh>
    <phoneticPr fontId="2"/>
  </si>
  <si>
    <t>高圧電力A</t>
    <rPh sb="0" eb="4">
      <t>コウアツデンリョク</t>
    </rPh>
    <phoneticPr fontId="2"/>
  </si>
  <si>
    <t>高圧電力B</t>
    <rPh sb="0" eb="4">
      <t>コウアツデンリョク</t>
    </rPh>
    <phoneticPr fontId="2"/>
  </si>
  <si>
    <t>業務用電力</t>
    <phoneticPr fontId="2"/>
  </si>
  <si>
    <t>特別高圧A（20,000V）</t>
    <rPh sb="0" eb="2">
      <t>トクベツ</t>
    </rPh>
    <rPh sb="2" eb="4">
      <t>コウアツ</t>
    </rPh>
    <phoneticPr fontId="2"/>
  </si>
  <si>
    <t>特別高圧A（60,000V）</t>
    <rPh sb="0" eb="2">
      <t>トクベツ</t>
    </rPh>
    <rPh sb="2" eb="4">
      <t>コウアツ</t>
    </rPh>
    <phoneticPr fontId="2"/>
  </si>
  <si>
    <t>特別高圧B（20,000V）</t>
    <rPh sb="0" eb="2">
      <t>トクベツ</t>
    </rPh>
    <rPh sb="2" eb="4">
      <t>コウアツ</t>
    </rPh>
    <phoneticPr fontId="2"/>
  </si>
  <si>
    <t>特別高圧B（60,000V）</t>
    <rPh sb="0" eb="2">
      <t>トクベツ</t>
    </rPh>
    <rPh sb="2" eb="4">
      <t>コウアツ</t>
    </rPh>
    <phoneticPr fontId="2"/>
  </si>
  <si>
    <t>特別高圧B（100,000V）</t>
    <rPh sb="0" eb="2">
      <t>トクベツ</t>
    </rPh>
    <rPh sb="2" eb="4">
      <t>コウアツ</t>
    </rPh>
    <phoneticPr fontId="2"/>
  </si>
  <si>
    <t>※リストに無い場合は、"直接入力"に入力して下さい。通常は空白です。
※電気料金は、2016年2月現在（2016年6月1日からの新料金にも一部対応済み）</t>
    <rPh sb="5" eb="6">
      <t>ナ</t>
    </rPh>
    <rPh sb="7" eb="9">
      <t>バアイ</t>
    </rPh>
    <rPh sb="12" eb="14">
      <t>チョクセツ</t>
    </rPh>
    <rPh sb="14" eb="16">
      <t>ニュウリョク</t>
    </rPh>
    <rPh sb="18" eb="20">
      <t>ニュウリョク</t>
    </rPh>
    <rPh sb="22" eb="23">
      <t>クダ</t>
    </rPh>
    <rPh sb="26" eb="28">
      <t>ツウジョウ</t>
    </rPh>
    <rPh sb="29" eb="31">
      <t>クウハク</t>
    </rPh>
    <rPh sb="36" eb="40">
      <t>デンキリョウキン</t>
    </rPh>
    <rPh sb="46" eb="47">
      <t>ネン</t>
    </rPh>
    <rPh sb="48" eb="49">
      <t>ガツ</t>
    </rPh>
    <rPh sb="49" eb="51">
      <t>ゲンザイ</t>
    </rPh>
    <rPh sb="56" eb="57">
      <t>ネン</t>
    </rPh>
    <rPh sb="58" eb="59">
      <t>ガツ</t>
    </rPh>
    <rPh sb="60" eb="61">
      <t>ニチ</t>
    </rPh>
    <rPh sb="64" eb="67">
      <t>シンリョウキン</t>
    </rPh>
    <rPh sb="69" eb="71">
      <t>イチブ</t>
    </rPh>
    <rPh sb="71" eb="73">
      <t>タイオウ</t>
    </rPh>
    <rPh sb="73" eb="74">
      <t>ズ</t>
    </rPh>
    <phoneticPr fontId="5"/>
  </si>
  <si>
    <t>高圧電力B</t>
    <rPh sb="0" eb="3">
      <t>コウアツデン</t>
    </rPh>
    <rPh sb="3" eb="4">
      <t>リョク</t>
    </rPh>
    <phoneticPr fontId="2"/>
  </si>
  <si>
    <t>業務用電力（高圧・500kW未満）</t>
    <rPh sb="0" eb="5">
      <t>ギョウムヨウデンリョク</t>
    </rPh>
    <rPh sb="6" eb="8">
      <t>コウアツ</t>
    </rPh>
    <rPh sb="14" eb="16">
      <t>ミマン</t>
    </rPh>
    <phoneticPr fontId="2"/>
  </si>
  <si>
    <t>業務用電力（高圧・500kW以上）</t>
    <rPh sb="0" eb="5">
      <t>ギョウムヨウデンリョク</t>
    </rPh>
    <rPh sb="6" eb="8">
      <t>コウアツ</t>
    </rPh>
    <rPh sb="14" eb="16">
      <t>イジョウ</t>
    </rPh>
    <phoneticPr fontId="2"/>
  </si>
  <si>
    <t>特別高圧電力A（20,000V）</t>
    <rPh sb="0" eb="2">
      <t>トクベツ</t>
    </rPh>
    <rPh sb="2" eb="4">
      <t>コウアツ</t>
    </rPh>
    <rPh sb="4" eb="6">
      <t>デンリョク</t>
    </rPh>
    <phoneticPr fontId="2"/>
  </si>
  <si>
    <t>特別高圧電力B（20,000V）</t>
    <rPh sb="0" eb="2">
      <t>トクベツ</t>
    </rPh>
    <rPh sb="2" eb="4">
      <t>コウアツ</t>
    </rPh>
    <rPh sb="4" eb="6">
      <t>デンリョク</t>
    </rPh>
    <phoneticPr fontId="2"/>
  </si>
  <si>
    <t>特別高圧電力B（60,000V）</t>
    <rPh sb="0" eb="2">
      <t>トクベツ</t>
    </rPh>
    <rPh sb="2" eb="4">
      <t>コウアツ</t>
    </rPh>
    <rPh sb="4" eb="6">
      <t>デンリョク</t>
    </rPh>
    <phoneticPr fontId="2"/>
  </si>
  <si>
    <t>業務用電力A　6,000V</t>
    <rPh sb="0" eb="3">
      <t>ギョウムヨウ</t>
    </rPh>
    <rPh sb="3" eb="5">
      <t>デンリョク</t>
    </rPh>
    <phoneticPr fontId="2"/>
  </si>
  <si>
    <t>業務用電力A　20,000V</t>
    <rPh sb="0" eb="3">
      <t>ギョウムヨウ</t>
    </rPh>
    <rPh sb="3" eb="5">
      <t>デンリョク</t>
    </rPh>
    <phoneticPr fontId="2"/>
  </si>
  <si>
    <t>業務用電力A　60,000V</t>
    <rPh sb="0" eb="3">
      <t>ギョウムヨウ</t>
    </rPh>
    <rPh sb="3" eb="5">
      <t>デンリョク</t>
    </rPh>
    <phoneticPr fontId="2"/>
  </si>
  <si>
    <t>産業用電力A　6,000V</t>
    <rPh sb="0" eb="3">
      <t>サンギョウヨウ</t>
    </rPh>
    <rPh sb="3" eb="5">
      <t>デンリョク</t>
    </rPh>
    <phoneticPr fontId="2"/>
  </si>
  <si>
    <t>産業用電力A　20,000V</t>
    <rPh sb="0" eb="3">
      <t>サンギョウヨウ</t>
    </rPh>
    <rPh sb="3" eb="5">
      <t>デンリョク</t>
    </rPh>
    <phoneticPr fontId="2"/>
  </si>
  <si>
    <t>産業用電力A　60,000V</t>
    <rPh sb="0" eb="3">
      <t>サンギョウヨウ</t>
    </rPh>
    <rPh sb="3" eb="5">
      <t>デンリョク</t>
    </rPh>
    <phoneticPr fontId="2"/>
  </si>
  <si>
    <t>産業用電力A　100,000V</t>
    <rPh sb="0" eb="3">
      <t>サンギョウヨウ</t>
    </rPh>
    <rPh sb="3" eb="5">
      <t>デンリョク</t>
    </rPh>
    <phoneticPr fontId="2"/>
  </si>
  <si>
    <t>特定規模電力A（20,000V）</t>
    <rPh sb="0" eb="2">
      <t>トクテイ</t>
    </rPh>
    <rPh sb="2" eb="4">
      <t>キボ</t>
    </rPh>
    <rPh sb="4" eb="6">
      <t>デンリョク</t>
    </rPh>
    <phoneticPr fontId="2"/>
  </si>
  <si>
    <t>特定規模電力A（60,000V）</t>
    <rPh sb="0" eb="2">
      <t>トクテイ</t>
    </rPh>
    <rPh sb="2" eb="4">
      <t>キボ</t>
    </rPh>
    <rPh sb="4" eb="6">
      <t>デンリョク</t>
    </rPh>
    <phoneticPr fontId="2"/>
  </si>
  <si>
    <t>特定規模電力B（20,000V）</t>
    <rPh sb="0" eb="2">
      <t>トクテイ</t>
    </rPh>
    <rPh sb="2" eb="4">
      <t>キボ</t>
    </rPh>
    <rPh sb="4" eb="6">
      <t>デンリョク</t>
    </rPh>
    <phoneticPr fontId="2"/>
  </si>
  <si>
    <t>特定規模電力B（60,000V）</t>
    <rPh sb="0" eb="2">
      <t>トクテイ</t>
    </rPh>
    <rPh sb="2" eb="4">
      <t>キボ</t>
    </rPh>
    <rPh sb="4" eb="6">
      <t>デンリョク</t>
    </rPh>
    <phoneticPr fontId="2"/>
  </si>
  <si>
    <t>H28.7.31まで</t>
    <phoneticPr fontId="2"/>
  </si>
  <si>
    <t>H28.8.1から</t>
    <phoneticPr fontId="2"/>
  </si>
  <si>
    <t>【年間電力量】</t>
    <rPh sb="1" eb="3">
      <t>ネンカン</t>
    </rPh>
    <rPh sb="3" eb="5">
      <t>デンリョク</t>
    </rPh>
    <rPh sb="5" eb="6">
      <t>リョウ</t>
    </rPh>
    <phoneticPr fontId="2"/>
  </si>
  <si>
    <t>【年間電力量料金】</t>
    <rPh sb="1" eb="3">
      <t>ネンカン</t>
    </rPh>
    <rPh sb="3" eb="6">
      <t>デンリョクリョウ</t>
    </rPh>
    <rPh sb="6" eb="8">
      <t>リョウキン</t>
    </rPh>
    <phoneticPr fontId="2"/>
  </si>
  <si>
    <t>※安定器のロス含む</t>
    <phoneticPr fontId="5"/>
  </si>
  <si>
    <t>年間電気料金</t>
    <rPh sb="0" eb="2">
      <t>ネンカン</t>
    </rPh>
    <rPh sb="2" eb="6">
      <t>デンキリョウキン</t>
    </rPh>
    <phoneticPr fontId="2"/>
  </si>
  <si>
    <t>kwh</t>
    <phoneticPr fontId="2"/>
  </si>
  <si>
    <t>既設</t>
    <rPh sb="0" eb="2">
      <t>キセツ</t>
    </rPh>
    <phoneticPr fontId="2"/>
  </si>
  <si>
    <t>LED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</si>
</sst>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 * #,##0_ ;_ * \-#,##0_ ;_ * &quot;-&quot;_ ;_ @_ "/>
    <numFmt numFmtId="176" formatCode="&quot;¥&quot;#,##0_);\(&quot;¥&quot;#,##0\)"/>
    <numFmt numFmtId="177" formatCode="0_);\(0\)"/>
    <numFmt numFmtId="178" formatCode="0_ "/>
    <numFmt numFmtId="179" formatCode="\ \ \ \ @&quot;変更後 使用電力変化と費用対効果について～&quot;"/>
    <numFmt numFmtId="180" formatCode="&quot;※基本料金＝[（ランプ総消費電力/1000）×使用本数]×&quot;General&quot;円×12ヶ月&quot;"/>
    <numFmt numFmtId="181" formatCode="#,###&quot;円&quot;"/>
    <numFmt numFmtId="182" formatCode="#,###"/>
    <numFmt numFmtId="183" formatCode="&quot;※基本料金＝[ランプ総消費電力/1000×使用本数]×&quot;General&quot;円×12ヶ月&quot;"/>
    <numFmt numFmtId="184" formatCode="#,###&quot;kwh/年&quot;"/>
    <numFmt numFmtId="185" formatCode="_ * #,##0_ ;_ * \-#,##0_ ;_ * &quot;-&quot;?_ ;_ @_ "/>
    <numFmt numFmtId="186" formatCode="General&quot;年&quot;&quot;目&quot;"/>
    <numFmt numFmtId="187" formatCode="0&quot;ヶ&quot;&quot;月&quot;"/>
  </numFmts>
  <fonts count="4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9"/>
      <name val="ＭＳ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b/>
      <sz val="8"/>
      <name val="ＭＳ ゴシック"/>
      <family val="3"/>
      <charset val="128"/>
    </font>
    <font>
      <sz val="22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10"/>
      <name val="ＭＳ 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DE75"/>
        <bgColor indexed="64"/>
      </patternFill>
    </fill>
    <fill>
      <patternFill patternType="solid">
        <fgColor rgb="FFCDDEF3"/>
        <bgColor indexed="64"/>
      </patternFill>
    </fill>
    <fill>
      <patternFill patternType="solid">
        <fgColor rgb="FFFFE38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</fills>
  <borders count="1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thin">
        <color auto="1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/>
      <bottom style="medium">
        <color auto="1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12"/>
      </left>
      <right style="thin">
        <color indexed="64"/>
      </right>
      <top style="thick">
        <color indexed="12"/>
      </top>
      <bottom/>
      <diagonal/>
    </border>
    <border>
      <left style="thin">
        <color indexed="64"/>
      </left>
      <right style="thin">
        <color indexed="64"/>
      </right>
      <top style="thick">
        <color indexed="12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ck">
        <color indexed="12"/>
      </top>
      <bottom style="thin">
        <color indexed="64"/>
      </bottom>
      <diagonal/>
    </border>
    <border>
      <left style="thick">
        <color indexed="12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n">
        <color indexed="64"/>
      </right>
      <top/>
      <bottom style="thin">
        <color indexed="64"/>
      </bottom>
      <diagonal/>
    </border>
    <border>
      <left style="thick">
        <color indexed="1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n">
        <color indexed="64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ck">
        <color indexed="1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47">
    <xf numFmtId="0" fontId="0" fillId="0" borderId="0" xfId="0">
      <alignment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</xf>
    <xf numFmtId="0" fontId="13" fillId="0" borderId="0" xfId="0" applyFo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12" fillId="3" borderId="0" xfId="0" applyFont="1" applyFill="1" applyBorder="1" applyProtection="1">
      <alignment vertical="center"/>
    </xf>
    <xf numFmtId="0" fontId="0" fillId="3" borderId="0" xfId="0" applyFill="1" applyBorder="1" applyProtection="1">
      <alignment vertical="center"/>
    </xf>
    <xf numFmtId="0" fontId="0" fillId="3" borderId="0" xfId="0" applyFill="1" applyProtection="1">
      <alignment vertical="center"/>
    </xf>
    <xf numFmtId="0" fontId="11" fillId="3" borderId="31" xfId="0" applyFont="1" applyFill="1" applyBorder="1" applyAlignment="1" applyProtection="1">
      <alignment horizontal="center" vertical="center"/>
    </xf>
    <xf numFmtId="0" fontId="11" fillId="3" borderId="31" xfId="0" applyFont="1" applyFill="1" applyBorder="1" applyAlignment="1" applyProtection="1">
      <alignment horizontal="center" vertical="center" wrapText="1"/>
    </xf>
    <xf numFmtId="0" fontId="11" fillId="3" borderId="34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 vertical="center" wrapText="1"/>
    </xf>
    <xf numFmtId="0" fontId="25" fillId="3" borderId="0" xfId="0" applyFont="1" applyFill="1" applyAlignment="1" applyProtection="1">
      <alignment horizontal="left" vertical="center"/>
    </xf>
    <xf numFmtId="0" fontId="26" fillId="3" borderId="0" xfId="0" applyFont="1" applyFill="1" applyProtection="1">
      <alignment vertical="center"/>
    </xf>
    <xf numFmtId="0" fontId="26" fillId="0" borderId="0" xfId="0" applyFont="1" applyProtection="1">
      <alignment vertical="center"/>
    </xf>
    <xf numFmtId="0" fontId="0" fillId="3" borderId="1" xfId="0" applyFill="1" applyBorder="1" applyProtection="1">
      <alignment vertical="center"/>
    </xf>
    <xf numFmtId="0" fontId="0" fillId="3" borderId="35" xfId="0" applyFill="1" applyBorder="1" applyProtection="1">
      <alignment vertical="center"/>
    </xf>
    <xf numFmtId="0" fontId="0" fillId="3" borderId="0" xfId="0" applyFill="1" applyBorder="1" applyAlignment="1" applyProtection="1">
      <alignment vertical="center" wrapText="1"/>
    </xf>
    <xf numFmtId="0" fontId="0" fillId="0" borderId="0" xfId="0" applyAlignment="1" applyProtection="1">
      <alignment vertical="center"/>
    </xf>
    <xf numFmtId="0" fontId="0" fillId="0" borderId="0" xfId="0" applyFill="1" applyProtection="1">
      <alignment vertical="center"/>
    </xf>
    <xf numFmtId="0" fontId="0" fillId="3" borderId="36" xfId="0" applyFill="1" applyBorder="1" applyAlignment="1" applyProtection="1">
      <alignment horizontal="right" vertical="center"/>
    </xf>
    <xf numFmtId="0" fontId="0" fillId="3" borderId="14" xfId="0" applyFill="1" applyBorder="1" applyProtection="1">
      <alignment vertical="center"/>
    </xf>
    <xf numFmtId="0" fontId="0" fillId="3" borderId="17" xfId="0" applyFill="1" applyBorder="1" applyProtection="1">
      <alignment vertical="center"/>
    </xf>
    <xf numFmtId="0" fontId="0" fillId="3" borderId="15" xfId="0" applyFill="1" applyBorder="1" applyProtection="1">
      <alignment vertical="center"/>
    </xf>
    <xf numFmtId="0" fontId="0" fillId="3" borderId="19" xfId="0" applyFill="1" applyBorder="1" applyProtection="1">
      <alignment vertical="center"/>
    </xf>
    <xf numFmtId="0" fontId="8" fillId="3" borderId="0" xfId="0" applyFont="1" applyFill="1" applyProtection="1">
      <alignment vertical="center"/>
    </xf>
    <xf numFmtId="0" fontId="22" fillId="3" borderId="19" xfId="0" applyFont="1" applyFill="1" applyBorder="1" applyProtection="1">
      <alignment vertical="center"/>
    </xf>
    <xf numFmtId="0" fontId="0" fillId="0" borderId="0" xfId="0" applyFill="1" applyAlignment="1" applyProtection="1">
      <alignment horizontal="left" vertical="center"/>
    </xf>
    <xf numFmtId="0" fontId="12" fillId="4" borderId="0" xfId="0" applyFont="1" applyFill="1" applyBorder="1" applyProtection="1">
      <alignment vertical="center"/>
    </xf>
    <xf numFmtId="0" fontId="0" fillId="4" borderId="0" xfId="0" applyFill="1" applyBorder="1" applyProtection="1">
      <alignment vertical="center"/>
    </xf>
    <xf numFmtId="0" fontId="0" fillId="4" borderId="0" xfId="0" applyFill="1" applyProtection="1">
      <alignment vertical="center"/>
    </xf>
    <xf numFmtId="0" fontId="11" fillId="4" borderId="31" xfId="0" applyFont="1" applyFill="1" applyBorder="1" applyAlignment="1" applyProtection="1">
      <alignment horizontal="center" vertical="center"/>
    </xf>
    <xf numFmtId="0" fontId="11" fillId="4" borderId="31" xfId="0" applyFont="1" applyFill="1" applyBorder="1" applyAlignment="1" applyProtection="1">
      <alignment horizontal="center" vertical="center" wrapText="1"/>
    </xf>
    <xf numFmtId="0" fontId="11" fillId="4" borderId="34" xfId="0" applyFont="1" applyFill="1" applyBorder="1" applyAlignment="1" applyProtection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left" vertical="center"/>
    </xf>
    <xf numFmtId="0" fontId="0" fillId="4" borderId="1" xfId="0" applyFill="1" applyBorder="1" applyProtection="1">
      <alignment vertical="center"/>
    </xf>
    <xf numFmtId="0" fontId="0" fillId="4" borderId="35" xfId="0" applyFill="1" applyBorder="1" applyProtection="1">
      <alignment vertical="center"/>
    </xf>
    <xf numFmtId="0" fontId="0" fillId="4" borderId="0" xfId="0" applyFill="1" applyBorder="1" applyAlignment="1" applyProtection="1">
      <alignment vertical="center" wrapText="1"/>
    </xf>
    <xf numFmtId="0" fontId="0" fillId="4" borderId="0" xfId="0" applyFill="1" applyAlignment="1" applyProtection="1">
      <alignment vertical="center"/>
    </xf>
    <xf numFmtId="0" fontId="0" fillId="4" borderId="36" xfId="0" applyFill="1" applyBorder="1" applyAlignment="1" applyProtection="1">
      <alignment horizontal="right" vertical="center"/>
    </xf>
    <xf numFmtId="0" fontId="0" fillId="4" borderId="14" xfId="0" applyFill="1" applyBorder="1" applyProtection="1">
      <alignment vertical="center"/>
    </xf>
    <xf numFmtId="0" fontId="0" fillId="4" borderId="17" xfId="0" applyFill="1" applyBorder="1" applyProtection="1">
      <alignment vertical="center"/>
    </xf>
    <xf numFmtId="0" fontId="0" fillId="4" borderId="15" xfId="0" applyFill="1" applyBorder="1" applyProtection="1">
      <alignment vertical="center"/>
    </xf>
    <xf numFmtId="0" fontId="0" fillId="4" borderId="19" xfId="0" applyFill="1" applyBorder="1" applyProtection="1">
      <alignment vertical="center"/>
    </xf>
    <xf numFmtId="0" fontId="8" fillId="4" borderId="0" xfId="0" applyFont="1" applyFill="1" applyProtection="1">
      <alignment vertical="center"/>
    </xf>
    <xf numFmtId="0" fontId="22" fillId="4" borderId="19" xfId="0" applyFont="1" applyFill="1" applyBorder="1" applyProtection="1">
      <alignment vertical="center"/>
    </xf>
    <xf numFmtId="0" fontId="0" fillId="0" borderId="0" xfId="0" applyFill="1" applyBorder="1" applyProtection="1">
      <alignment vertical="center"/>
    </xf>
    <xf numFmtId="0" fontId="19" fillId="0" borderId="17" xfId="0" applyFont="1" applyFill="1" applyBorder="1" applyProtection="1">
      <alignment vertical="center"/>
    </xf>
    <xf numFmtId="0" fontId="8" fillId="0" borderId="0" xfId="0" applyFont="1" applyFill="1" applyProtection="1">
      <alignment vertical="center"/>
    </xf>
    <xf numFmtId="0" fontId="19" fillId="0" borderId="19" xfId="0" applyFont="1" applyFill="1" applyBorder="1" applyProtection="1">
      <alignment vertical="center"/>
    </xf>
    <xf numFmtId="0" fontId="7" fillId="0" borderId="0" xfId="0" applyFont="1" applyFill="1" applyProtection="1">
      <alignment vertical="center"/>
    </xf>
    <xf numFmtId="0" fontId="12" fillId="0" borderId="0" xfId="0" applyFont="1" applyFill="1" applyProtection="1">
      <alignment vertical="center"/>
    </xf>
    <xf numFmtId="0" fontId="4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38" fontId="20" fillId="0" borderId="0" xfId="0" applyNumberFormat="1" applyFont="1" applyFill="1" applyBorder="1" applyAlignment="1" applyProtection="1"/>
    <xf numFmtId="38" fontId="21" fillId="0" borderId="0" xfId="0" applyNumberFormat="1" applyFont="1" applyFill="1" applyBorder="1" applyAlignment="1" applyProtection="1"/>
    <xf numFmtId="38" fontId="6" fillId="0" borderId="0" xfId="0" applyNumberFormat="1" applyFont="1" applyFill="1" applyBorder="1" applyAlignment="1" applyProtection="1"/>
    <xf numFmtId="0" fontId="0" fillId="0" borderId="1" xfId="0" applyFill="1" applyBorder="1" applyAlignment="1" applyProtection="1">
      <alignment horizontal="center" vertical="center"/>
    </xf>
    <xf numFmtId="0" fontId="17" fillId="0" borderId="12" xfId="0" applyFont="1" applyFill="1" applyBorder="1" applyAlignment="1" applyProtection="1">
      <alignment horizontal="center" vertical="center"/>
    </xf>
    <xf numFmtId="177" fontId="17" fillId="0" borderId="0" xfId="0" applyNumberFormat="1" applyFont="1" applyFill="1" applyBorder="1" applyAlignment="1" applyProtection="1">
      <alignment horizontal="right" vertical="center"/>
    </xf>
    <xf numFmtId="176" fontId="17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13" fillId="0" borderId="0" xfId="0" applyFont="1" applyFill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4" fillId="5" borderId="38" xfId="0" applyFont="1" applyFill="1" applyBorder="1" applyAlignment="1" applyProtection="1">
      <alignment horizontal="center"/>
    </xf>
    <xf numFmtId="38" fontId="4" fillId="0" borderId="2" xfId="0" applyNumberFormat="1" applyFont="1" applyBorder="1" applyAlignment="1" applyProtection="1"/>
    <xf numFmtId="38" fontId="4" fillId="0" borderId="41" xfId="0" applyNumberFormat="1" applyFont="1" applyBorder="1" applyAlignment="1" applyProtection="1"/>
    <xf numFmtId="38" fontId="4" fillId="0" borderId="3" xfId="0" applyNumberFormat="1" applyFont="1" applyFill="1" applyBorder="1" applyAlignment="1" applyProtection="1"/>
    <xf numFmtId="38" fontId="4" fillId="0" borderId="4" xfId="0" applyNumberFormat="1" applyFont="1" applyFill="1" applyBorder="1" applyAlignment="1" applyProtection="1"/>
    <xf numFmtId="38" fontId="4" fillId="0" borderId="42" xfId="0" applyNumberFormat="1" applyFont="1" applyFill="1" applyBorder="1" applyAlignment="1" applyProtection="1"/>
    <xf numFmtId="38" fontId="4" fillId="5" borderId="5" xfId="0" applyNumberFormat="1" applyFont="1" applyFill="1" applyBorder="1" applyAlignment="1" applyProtection="1"/>
    <xf numFmtId="38" fontId="4" fillId="5" borderId="6" xfId="0" applyNumberFormat="1" applyFont="1" applyFill="1" applyBorder="1" applyAlignment="1" applyProtection="1"/>
    <xf numFmtId="38" fontId="4" fillId="5" borderId="43" xfId="0" applyNumberFormat="1" applyFont="1" applyFill="1" applyBorder="1" applyAlignment="1" applyProtection="1"/>
    <xf numFmtId="38" fontId="4" fillId="0" borderId="7" xfId="1" applyFont="1" applyFill="1" applyBorder="1" applyAlignment="1" applyProtection="1"/>
    <xf numFmtId="38" fontId="4" fillId="0" borderId="2" xfId="1" applyFont="1" applyFill="1" applyBorder="1" applyAlignment="1" applyProtection="1"/>
    <xf numFmtId="38" fontId="4" fillId="4" borderId="8" xfId="0" applyNumberFormat="1" applyFont="1" applyFill="1" applyBorder="1" applyAlignment="1" applyProtection="1"/>
    <xf numFmtId="38" fontId="4" fillId="4" borderId="9" xfId="0" applyNumberFormat="1" applyFont="1" applyFill="1" applyBorder="1" applyAlignment="1" applyProtection="1"/>
    <xf numFmtId="38" fontId="4" fillId="4" borderId="47" xfId="0" applyNumberFormat="1" applyFont="1" applyFill="1" applyBorder="1" applyAlignment="1" applyProtection="1"/>
    <xf numFmtId="0" fontId="29" fillId="6" borderId="48" xfId="0" applyFont="1" applyFill="1" applyBorder="1" applyAlignment="1" applyProtection="1">
      <alignment horizontal="center"/>
    </xf>
    <xf numFmtId="38" fontId="6" fillId="6" borderId="10" xfId="0" applyNumberFormat="1" applyFont="1" applyFill="1" applyBorder="1" applyAlignment="1" applyProtection="1"/>
    <xf numFmtId="38" fontId="6" fillId="6" borderId="11" xfId="0" applyNumberFormat="1" applyFont="1" applyFill="1" applyBorder="1" applyAlignment="1" applyProtection="1"/>
    <xf numFmtId="38" fontId="6" fillId="6" borderId="49" xfId="0" applyNumberFormat="1" applyFont="1" applyFill="1" applyBorder="1" applyAlignment="1" applyProtection="1"/>
    <xf numFmtId="38" fontId="6" fillId="0" borderId="52" xfId="0" applyNumberFormat="1" applyFont="1" applyBorder="1" applyAlignment="1" applyProtection="1"/>
    <xf numFmtId="38" fontId="6" fillId="0" borderId="50" xfId="0" applyNumberFormat="1" applyFont="1" applyBorder="1" applyAlignment="1" applyProtection="1"/>
    <xf numFmtId="38" fontId="6" fillId="0" borderId="51" xfId="0" applyNumberFormat="1" applyFont="1" applyBorder="1" applyAlignment="1" applyProtection="1"/>
    <xf numFmtId="0" fontId="4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38" fontId="6" fillId="0" borderId="0" xfId="0" applyNumberFormat="1" applyFont="1" applyBorder="1" applyAlignment="1" applyProtection="1"/>
    <xf numFmtId="0" fontId="0" fillId="0" borderId="0" xfId="0" applyBorder="1" applyAlignment="1" applyProtection="1">
      <alignment horizontal="left" vertical="center"/>
    </xf>
    <xf numFmtId="0" fontId="0" fillId="3" borderId="30" xfId="0" applyFill="1" applyBorder="1" applyAlignment="1" applyProtection="1">
      <alignment vertical="center"/>
    </xf>
    <xf numFmtId="0" fontId="0" fillId="3" borderId="25" xfId="0" applyFill="1" applyBorder="1" applyAlignment="1" applyProtection="1">
      <alignment vertical="center"/>
    </xf>
    <xf numFmtId="0" fontId="0" fillId="4" borderId="30" xfId="0" applyFill="1" applyBorder="1" applyAlignment="1" applyProtection="1">
      <alignment vertical="center"/>
    </xf>
    <xf numFmtId="0" fontId="0" fillId="4" borderId="25" xfId="0" applyFill="1" applyBorder="1" applyAlignment="1" applyProtection="1">
      <alignment vertical="center"/>
    </xf>
    <xf numFmtId="0" fontId="0" fillId="0" borderId="0" xfId="0" applyBorder="1" applyProtection="1">
      <alignment vertical="center"/>
    </xf>
    <xf numFmtId="38" fontId="20" fillId="0" borderId="0" xfId="0" applyNumberFormat="1" applyFont="1" applyBorder="1" applyAlignment="1" applyProtection="1"/>
    <xf numFmtId="38" fontId="20" fillId="0" borderId="0" xfId="1" applyFont="1" applyFill="1" applyBorder="1" applyAlignment="1" applyProtection="1"/>
    <xf numFmtId="0" fontId="4" fillId="0" borderId="0" xfId="0" applyFont="1" applyFill="1" applyBorder="1" applyAlignment="1" applyProtection="1">
      <alignment vertical="top" wrapText="1"/>
    </xf>
    <xf numFmtId="180" fontId="20" fillId="0" borderId="0" xfId="0" applyNumberFormat="1" applyFont="1" applyFill="1" applyBorder="1" applyAlignment="1" applyProtection="1"/>
    <xf numFmtId="181" fontId="17" fillId="2" borderId="1" xfId="0" applyNumberFormat="1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</xf>
    <xf numFmtId="0" fontId="32" fillId="0" borderId="0" xfId="0" applyFont="1" applyProtection="1">
      <alignment vertical="center"/>
    </xf>
    <xf numFmtId="182" fontId="23" fillId="4" borderId="30" xfId="0" applyNumberFormat="1" applyFont="1" applyFill="1" applyBorder="1" applyProtection="1">
      <alignment vertical="center"/>
    </xf>
    <xf numFmtId="182" fontId="23" fillId="3" borderId="30" xfId="0" applyNumberFormat="1" applyFont="1" applyFill="1" applyBorder="1" applyProtection="1">
      <alignment vertical="center"/>
    </xf>
    <xf numFmtId="0" fontId="0" fillId="0" borderId="59" xfId="0" applyBorder="1" applyProtection="1">
      <alignment vertical="center"/>
    </xf>
    <xf numFmtId="186" fontId="4" fillId="0" borderId="39" xfId="0" applyNumberFormat="1" applyFont="1" applyFill="1" applyBorder="1" applyAlignment="1" applyProtection="1">
      <alignment horizontal="center"/>
    </xf>
    <xf numFmtId="182" fontId="23" fillId="0" borderId="0" xfId="0" applyNumberFormat="1" applyFont="1" applyFill="1" applyBorder="1" applyProtection="1">
      <alignment vertical="center"/>
    </xf>
    <xf numFmtId="0" fontId="3" fillId="0" borderId="0" xfId="0" applyFont="1" applyFill="1" applyBorder="1" applyProtection="1">
      <alignment vertical="center"/>
    </xf>
    <xf numFmtId="182" fontId="23" fillId="0" borderId="0" xfId="0" applyNumberFormat="1" applyFont="1" applyFill="1" applyBorder="1" applyAlignment="1" applyProtection="1">
      <alignment horizontal="right" vertical="center"/>
    </xf>
    <xf numFmtId="0" fontId="3" fillId="0" borderId="21" xfId="0" applyFont="1" applyFill="1" applyBorder="1" applyProtection="1">
      <alignment vertical="center"/>
    </xf>
    <xf numFmtId="0" fontId="3" fillId="0" borderId="13" xfId="0" applyFont="1" applyFill="1" applyBorder="1" applyAlignment="1" applyProtection="1">
      <alignment vertical="center"/>
    </xf>
    <xf numFmtId="180" fontId="20" fillId="0" borderId="28" xfId="0" applyNumberFormat="1" applyFont="1" applyFill="1" applyBorder="1" applyAlignment="1" applyProtection="1">
      <alignment horizontal="left"/>
    </xf>
    <xf numFmtId="179" fontId="27" fillId="0" borderId="0" xfId="0" applyNumberFormat="1" applyFont="1" applyAlignment="1" applyProtection="1">
      <alignment vertical="center"/>
    </xf>
    <xf numFmtId="179" fontId="28" fillId="0" borderId="0" xfId="0" applyNumberFormat="1" applyFont="1" applyAlignment="1" applyProtection="1">
      <alignment vertical="center"/>
    </xf>
    <xf numFmtId="0" fontId="0" fillId="0" borderId="54" xfId="0" applyBorder="1" applyAlignment="1" applyProtection="1">
      <alignment vertical="center"/>
    </xf>
    <xf numFmtId="0" fontId="0" fillId="0" borderId="60" xfId="0" applyBorder="1" applyProtection="1">
      <alignment vertical="center"/>
    </xf>
    <xf numFmtId="0" fontId="27" fillId="0" borderId="60" xfId="0" applyFont="1" applyBorder="1" applyProtection="1">
      <alignment vertical="center"/>
    </xf>
    <xf numFmtId="0" fontId="0" fillId="0" borderId="54" xfId="0" applyBorder="1" applyProtection="1">
      <alignment vertical="center"/>
    </xf>
    <xf numFmtId="0" fontId="0" fillId="0" borderId="53" xfId="0" applyBorder="1" applyProtection="1">
      <alignment vertical="center"/>
    </xf>
    <xf numFmtId="0" fontId="34" fillId="0" borderId="53" xfId="0" applyFont="1" applyFill="1" applyBorder="1" applyAlignment="1" applyProtection="1">
      <alignment vertical="center"/>
    </xf>
    <xf numFmtId="0" fontId="34" fillId="0" borderId="32" xfId="0" applyFont="1" applyBorder="1" applyProtection="1">
      <alignment vertical="center"/>
    </xf>
    <xf numFmtId="0" fontId="3" fillId="0" borderId="63" xfId="0" applyFont="1" applyBorder="1" applyAlignment="1" applyProtection="1">
      <alignment horizontal="right" vertical="center"/>
    </xf>
    <xf numFmtId="0" fontId="34" fillId="0" borderId="55" xfId="0" applyFont="1" applyBorder="1" applyProtection="1">
      <alignment vertical="center"/>
    </xf>
    <xf numFmtId="0" fontId="34" fillId="0" borderId="64" xfId="0" applyFont="1" applyBorder="1" applyProtection="1">
      <alignment vertical="center"/>
    </xf>
    <xf numFmtId="0" fontId="34" fillId="0" borderId="32" xfId="0" applyFont="1" applyBorder="1" applyAlignment="1" applyProtection="1">
      <alignment horizontal="right" vertical="center"/>
    </xf>
    <xf numFmtId="0" fontId="13" fillId="0" borderId="61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 shrinkToFit="1"/>
    </xf>
    <xf numFmtId="181" fontId="14" fillId="0" borderId="0" xfId="0" applyNumberFormat="1" applyFont="1" applyFill="1" applyBorder="1" applyAlignment="1" applyProtection="1">
      <alignment vertical="center"/>
    </xf>
    <xf numFmtId="0" fontId="17" fillId="0" borderId="20" xfId="0" applyFont="1" applyFill="1" applyBorder="1" applyAlignment="1" applyProtection="1">
      <alignment horizontal="center" vertical="center"/>
    </xf>
    <xf numFmtId="183" fontId="33" fillId="0" borderId="28" xfId="0" applyNumberFormat="1" applyFont="1" applyFill="1" applyBorder="1" applyAlignment="1" applyProtection="1">
      <alignment horizontal="left"/>
    </xf>
    <xf numFmtId="183" fontId="33" fillId="0" borderId="0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>
      <alignment vertical="center" wrapText="1"/>
    </xf>
    <xf numFmtId="0" fontId="34" fillId="0" borderId="63" xfId="0" applyFont="1" applyBorder="1" applyProtection="1">
      <alignment vertical="center"/>
    </xf>
    <xf numFmtId="0" fontId="34" fillId="0" borderId="65" xfId="0" applyFont="1" applyBorder="1" applyAlignment="1" applyProtection="1">
      <alignment vertical="center"/>
    </xf>
    <xf numFmtId="0" fontId="34" fillId="0" borderId="65" xfId="0" applyFont="1" applyBorder="1" applyProtection="1">
      <alignment vertical="center"/>
    </xf>
    <xf numFmtId="0" fontId="0" fillId="2" borderId="66" xfId="0" applyFill="1" applyBorder="1" applyAlignment="1" applyProtection="1">
      <alignment horizontal="center" vertical="center"/>
      <protection locked="0"/>
    </xf>
    <xf numFmtId="181" fontId="17" fillId="0" borderId="0" xfId="0" applyNumberFormat="1" applyFont="1" applyFill="1" applyBorder="1" applyAlignment="1" applyProtection="1">
      <alignment horizontal="right" vertical="center"/>
    </xf>
    <xf numFmtId="181" fontId="0" fillId="0" borderId="0" xfId="0" applyNumberFormat="1" applyFill="1" applyBorder="1" applyAlignment="1" applyProtection="1">
      <alignment horizontal="right" vertical="center"/>
    </xf>
    <xf numFmtId="0" fontId="34" fillId="0" borderId="0" xfId="0" applyFont="1" applyBorder="1" applyProtection="1">
      <alignment vertical="center"/>
    </xf>
    <xf numFmtId="177" fontId="17" fillId="0" borderId="67" xfId="0" applyNumberFormat="1" applyFont="1" applyFill="1" applyBorder="1" applyAlignment="1" applyProtection="1">
      <alignment horizontal="right" vertical="center"/>
    </xf>
    <xf numFmtId="0" fontId="17" fillId="0" borderId="70" xfId="0" applyFont="1" applyFill="1" applyBorder="1" applyAlignment="1" applyProtection="1">
      <alignment horizontal="center" vertical="center"/>
    </xf>
    <xf numFmtId="181" fontId="17" fillId="2" borderId="71" xfId="0" applyNumberFormat="1" applyFont="1" applyFill="1" applyBorder="1" applyAlignment="1" applyProtection="1">
      <alignment horizontal="right" vertical="center"/>
      <protection locked="0"/>
    </xf>
    <xf numFmtId="0" fontId="3" fillId="0" borderId="72" xfId="0" applyFont="1" applyFill="1" applyBorder="1" applyProtection="1">
      <alignment vertical="center"/>
    </xf>
    <xf numFmtId="0" fontId="3" fillId="0" borderId="66" xfId="0" applyFont="1" applyFill="1" applyBorder="1" applyAlignment="1" applyProtection="1">
      <alignment vertical="center"/>
    </xf>
    <xf numFmtId="177" fontId="14" fillId="0" borderId="67" xfId="0" applyNumberFormat="1" applyFont="1" applyFill="1" applyBorder="1" applyAlignment="1" applyProtection="1">
      <alignment horizontal="right" vertical="center"/>
    </xf>
    <xf numFmtId="0" fontId="11" fillId="4" borderId="58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alignment horizontal="left" vertical="center"/>
    </xf>
    <xf numFmtId="0" fontId="11" fillId="3" borderId="73" xfId="0" applyFont="1" applyFill="1" applyBorder="1" applyAlignment="1" applyProtection="1">
      <alignment horizontal="center" vertical="center"/>
    </xf>
    <xf numFmtId="0" fontId="0" fillId="2" borderId="74" xfId="0" applyFill="1" applyBorder="1" applyAlignment="1" applyProtection="1">
      <alignment horizontal="center" vertical="center" wrapText="1"/>
      <protection locked="0"/>
    </xf>
    <xf numFmtId="0" fontId="11" fillId="4" borderId="73" xfId="0" applyFont="1" applyFill="1" applyBorder="1" applyAlignment="1" applyProtection="1">
      <alignment horizontal="center" vertical="center"/>
    </xf>
    <xf numFmtId="0" fontId="11" fillId="4" borderId="24" xfId="0" applyFont="1" applyFill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/>
    </xf>
    <xf numFmtId="0" fontId="34" fillId="0" borderId="93" xfId="0" applyFont="1" applyBorder="1" applyProtection="1">
      <alignment vertical="center"/>
    </xf>
    <xf numFmtId="0" fontId="12" fillId="2" borderId="32" xfId="0" applyFont="1" applyFill="1" applyBorder="1" applyProtection="1">
      <alignment vertical="center"/>
      <protection locked="0"/>
    </xf>
    <xf numFmtId="0" fontId="12" fillId="2" borderId="32" xfId="0" applyFont="1" applyFill="1" applyBorder="1" applyAlignment="1" applyProtection="1">
      <alignment vertical="center"/>
      <protection locked="0"/>
    </xf>
    <xf numFmtId="0" fontId="34" fillId="0" borderId="54" xfId="0" applyFont="1" applyBorder="1" applyAlignment="1" applyProtection="1">
      <alignment horizontal="center" vertical="center"/>
    </xf>
    <xf numFmtId="0" fontId="34" fillId="0" borderId="32" xfId="0" applyFont="1" applyFill="1" applyBorder="1" applyAlignment="1" applyProtection="1">
      <alignment horizontal="center" vertical="center"/>
    </xf>
    <xf numFmtId="0" fontId="34" fillId="0" borderId="37" xfId="0" applyFont="1" applyBorder="1" applyAlignment="1" applyProtection="1">
      <alignment horizontal="center" vertical="center"/>
    </xf>
    <xf numFmtId="0" fontId="26" fillId="3" borderId="0" xfId="0" applyFont="1" applyFill="1" applyAlignment="1" applyProtection="1">
      <alignment vertical="center"/>
    </xf>
    <xf numFmtId="0" fontId="3" fillId="0" borderId="75" xfId="0" applyFont="1" applyFill="1" applyBorder="1" applyProtection="1">
      <alignment vertical="center"/>
    </xf>
    <xf numFmtId="186" fontId="4" fillId="0" borderId="94" xfId="0" applyNumberFormat="1" applyFont="1" applyFill="1" applyBorder="1" applyAlignment="1" applyProtection="1">
      <alignment horizontal="center"/>
    </xf>
    <xf numFmtId="38" fontId="4" fillId="0" borderId="45" xfId="1" applyFont="1" applyFill="1" applyBorder="1" applyAlignment="1" applyProtection="1"/>
    <xf numFmtId="38" fontId="4" fillId="0" borderId="41" xfId="1" applyFont="1" applyFill="1" applyBorder="1" applyAlignment="1" applyProtection="1"/>
    <xf numFmtId="38" fontId="4" fillId="0" borderId="42" xfId="0" applyNumberFormat="1" applyFont="1" applyBorder="1" applyAlignment="1" applyProtection="1"/>
    <xf numFmtId="0" fontId="36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187" fontId="0" fillId="0" borderId="1" xfId="0" applyNumberFormat="1" applyBorder="1" applyAlignment="1">
      <alignment horizontal="center" vertical="center"/>
    </xf>
    <xf numFmtId="0" fontId="0" fillId="0" borderId="67" xfId="0" applyBorder="1" applyAlignment="1">
      <alignment horizontal="left" vertical="center"/>
    </xf>
    <xf numFmtId="0" fontId="0" fillId="0" borderId="1" xfId="0" applyBorder="1">
      <alignment vertical="center"/>
    </xf>
    <xf numFmtId="4" fontId="0" fillId="0" borderId="1" xfId="0" applyNumberFormat="1" applyBorder="1">
      <alignment vertical="center"/>
    </xf>
    <xf numFmtId="0" fontId="0" fillId="0" borderId="67" xfId="0" applyBorder="1">
      <alignment vertical="center"/>
    </xf>
    <xf numFmtId="0" fontId="0" fillId="8" borderId="67" xfId="0" applyFill="1" applyBorder="1">
      <alignment vertical="center"/>
    </xf>
    <xf numFmtId="0" fontId="0" fillId="9" borderId="1" xfId="0" applyFill="1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37" fillId="10" borderId="0" xfId="0" applyFont="1" applyFill="1">
      <alignment vertical="center"/>
    </xf>
    <xf numFmtId="0" fontId="0" fillId="0" borderId="100" xfId="0" applyBorder="1" applyAlignment="1">
      <alignment horizontal="center" vertical="center"/>
    </xf>
    <xf numFmtId="187" fontId="0" fillId="0" borderId="100" xfId="0" applyNumberFormat="1" applyBorder="1" applyAlignment="1">
      <alignment horizontal="center" vertical="center"/>
    </xf>
    <xf numFmtId="0" fontId="0" fillId="0" borderId="102" xfId="0" applyBorder="1" applyAlignment="1">
      <alignment horizontal="left" vertical="center"/>
    </xf>
    <xf numFmtId="0" fontId="0" fillId="0" borderId="100" xfId="0" applyBorder="1">
      <alignment vertical="center"/>
    </xf>
    <xf numFmtId="0" fontId="0" fillId="0" borderId="103" xfId="0" applyBorder="1" applyAlignment="1">
      <alignment horizontal="left" vertical="center"/>
    </xf>
    <xf numFmtId="0" fontId="0" fillId="8" borderId="104" xfId="0" applyFill="1" applyBorder="1">
      <alignment vertical="center"/>
    </xf>
    <xf numFmtId="0" fontId="0" fillId="8" borderId="105" xfId="0" applyFill="1" applyBorder="1">
      <alignment vertical="center"/>
    </xf>
    <xf numFmtId="0" fontId="31" fillId="0" borderId="0" xfId="0" applyFont="1">
      <alignment vertical="center"/>
    </xf>
    <xf numFmtId="0" fontId="39" fillId="0" borderId="0" xfId="0" applyFont="1">
      <alignment vertical="center"/>
    </xf>
    <xf numFmtId="0" fontId="0" fillId="0" borderId="62" xfId="0" applyBorder="1" applyAlignment="1" applyProtection="1">
      <alignment vertical="center"/>
    </xf>
    <xf numFmtId="0" fontId="0" fillId="0" borderId="107" xfId="0" applyBorder="1" applyAlignment="1" applyProtection="1">
      <alignment vertical="center"/>
    </xf>
    <xf numFmtId="0" fontId="34" fillId="0" borderId="108" xfId="0" applyFont="1" applyFill="1" applyBorder="1" applyAlignment="1" applyProtection="1">
      <alignment vertical="center"/>
    </xf>
    <xf numFmtId="0" fontId="0" fillId="0" borderId="68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3" xfId="0" applyBorder="1">
      <alignment vertical="center"/>
    </xf>
    <xf numFmtId="0" fontId="0" fillId="0" borderId="68" xfId="0" applyBorder="1">
      <alignment vertical="center"/>
    </xf>
    <xf numFmtId="0" fontId="0" fillId="0" borderId="71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2" fillId="0" borderId="61" xfId="0" applyFont="1" applyFill="1" applyBorder="1" applyProtection="1">
      <alignment vertical="center"/>
    </xf>
    <xf numFmtId="0" fontId="12" fillId="2" borderId="111" xfId="0" applyFont="1" applyFill="1" applyBorder="1" applyProtection="1">
      <alignment vertical="center"/>
      <protection locked="0"/>
    </xf>
    <xf numFmtId="0" fontId="12" fillId="11" borderId="54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16" fillId="0" borderId="12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 wrapText="1"/>
    </xf>
    <xf numFmtId="0" fontId="12" fillId="11" borderId="62" xfId="0" applyFont="1" applyFill="1" applyBorder="1" applyProtection="1">
      <alignment vertical="center"/>
    </xf>
    <xf numFmtId="178" fontId="17" fillId="0" borderId="1" xfId="0" applyNumberFormat="1" applyFont="1" applyFill="1" applyBorder="1" applyAlignment="1" applyProtection="1">
      <alignment horizontal="right" vertical="center"/>
    </xf>
    <xf numFmtId="178" fontId="17" fillId="0" borderId="71" xfId="0" applyNumberFormat="1" applyFont="1" applyFill="1" applyBorder="1" applyAlignment="1" applyProtection="1">
      <alignment horizontal="right" vertical="center"/>
    </xf>
    <xf numFmtId="0" fontId="12" fillId="2" borderId="54" xfId="0" applyFont="1" applyFill="1" applyBorder="1" applyProtection="1">
      <alignment vertical="center"/>
      <protection locked="0"/>
    </xf>
    <xf numFmtId="0" fontId="12" fillId="2" borderId="62" xfId="0" applyFont="1" applyFill="1" applyBorder="1" applyProtection="1">
      <alignment vertical="center"/>
      <protection locked="0"/>
    </xf>
    <xf numFmtId="0" fontId="12" fillId="2" borderId="54" xfId="0" applyFont="1" applyFill="1" applyBorder="1" applyAlignment="1" applyProtection="1">
      <alignment horizontal="right" vertical="center"/>
      <protection locked="0"/>
    </xf>
    <xf numFmtId="0" fontId="3" fillId="2" borderId="106" xfId="0" applyFont="1" applyFill="1" applyBorder="1" applyAlignment="1" applyProtection="1">
      <alignment vertical="center"/>
      <protection locked="0"/>
    </xf>
    <xf numFmtId="0" fontId="12" fillId="2" borderId="64" xfId="0" applyFont="1" applyFill="1" applyBorder="1" applyProtection="1">
      <alignment vertical="center"/>
      <protection locked="0"/>
    </xf>
    <xf numFmtId="0" fontId="0" fillId="0" borderId="0" xfId="0" applyBorder="1" applyAlignment="1">
      <alignment horizontal="center" vertical="center"/>
    </xf>
    <xf numFmtId="187" fontId="0" fillId="0" borderId="0" xfId="0" applyNumberForma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14" fontId="0" fillId="0" borderId="0" xfId="0" applyNumberFormat="1">
      <alignment vertical="center"/>
    </xf>
    <xf numFmtId="0" fontId="0" fillId="0" borderId="1" xfId="0" applyFill="1" applyBorder="1">
      <alignment vertical="center"/>
    </xf>
    <xf numFmtId="14" fontId="0" fillId="0" borderId="0" xfId="0" applyNumberFormat="1" applyBorder="1">
      <alignment vertical="center"/>
    </xf>
    <xf numFmtId="0" fontId="0" fillId="8" borderId="1" xfId="0" applyFill="1" applyBorder="1">
      <alignment vertical="center"/>
    </xf>
    <xf numFmtId="0" fontId="3" fillId="0" borderId="111" xfId="0" applyFont="1" applyFill="1" applyBorder="1" applyAlignment="1" applyProtection="1">
      <alignment horizontal="center" vertical="center"/>
      <protection locked="0"/>
    </xf>
    <xf numFmtId="0" fontId="0" fillId="7" borderId="0" xfId="0" applyFill="1" applyProtection="1">
      <alignment vertical="center"/>
    </xf>
    <xf numFmtId="0" fontId="30" fillId="3" borderId="0" xfId="0" applyFont="1" applyFill="1" applyAlignment="1" applyProtection="1">
      <alignment vertical="center"/>
    </xf>
    <xf numFmtId="182" fontId="17" fillId="2" borderId="12" xfId="0" applyNumberFormat="1" applyFont="1" applyFill="1" applyBorder="1" applyAlignment="1" applyProtection="1">
      <alignment horizontal="right" vertical="center"/>
      <protection locked="0"/>
    </xf>
    <xf numFmtId="182" fontId="17" fillId="2" borderId="1" xfId="0" applyNumberFormat="1" applyFont="1" applyFill="1" applyBorder="1" applyAlignment="1" applyProtection="1">
      <alignment horizontal="right" vertical="center"/>
      <protection locked="0"/>
    </xf>
    <xf numFmtId="182" fontId="17" fillId="2" borderId="20" xfId="0" applyNumberFormat="1" applyFont="1" applyFill="1" applyBorder="1" applyAlignment="1" applyProtection="1">
      <alignment horizontal="right" vertical="center"/>
      <protection locked="0"/>
    </xf>
    <xf numFmtId="0" fontId="32" fillId="0" borderId="28" xfId="0" applyFont="1" applyBorder="1" applyAlignment="1" applyProtection="1">
      <alignment vertical="center" wrapText="1"/>
    </xf>
    <xf numFmtId="0" fontId="9" fillId="0" borderId="28" xfId="0" applyFont="1" applyBorder="1" applyAlignment="1" applyProtection="1">
      <alignment vertical="center" wrapText="1"/>
    </xf>
    <xf numFmtId="0" fontId="3" fillId="2" borderId="109" xfId="0" applyFont="1" applyFill="1" applyBorder="1" applyAlignment="1" applyProtection="1">
      <alignment horizontal="center" vertical="center" shrinkToFit="1"/>
      <protection locked="0"/>
    </xf>
    <xf numFmtId="0" fontId="3" fillId="2" borderId="110" xfId="0" applyFont="1" applyFill="1" applyBorder="1" applyAlignment="1" applyProtection="1">
      <alignment horizontal="center" vertical="center" shrinkToFit="1"/>
      <protection locked="0"/>
    </xf>
    <xf numFmtId="0" fontId="6" fillId="0" borderId="25" xfId="0" applyFont="1" applyBorder="1" applyAlignment="1" applyProtection="1">
      <alignment horizontal="center"/>
    </xf>
    <xf numFmtId="0" fontId="6" fillId="0" borderId="86" xfId="0" applyFont="1" applyBorder="1" applyAlignment="1" applyProtection="1">
      <alignment horizontal="center"/>
    </xf>
    <xf numFmtId="0" fontId="34" fillId="0" borderId="53" xfId="0" applyFont="1" applyFill="1" applyBorder="1" applyAlignment="1" applyProtection="1">
      <alignment horizontal="left" vertical="center"/>
    </xf>
    <xf numFmtId="0" fontId="34" fillId="0" borderId="55" xfId="0" applyFont="1" applyFill="1" applyBorder="1" applyAlignment="1" applyProtection="1">
      <alignment horizontal="left" vertical="center"/>
    </xf>
    <xf numFmtId="0" fontId="34" fillId="0" borderId="53" xfId="0" applyFont="1" applyBorder="1" applyAlignment="1" applyProtection="1">
      <alignment horizontal="left" vertical="center"/>
    </xf>
    <xf numFmtId="0" fontId="34" fillId="0" borderId="55" xfId="0" applyFont="1" applyBorder="1" applyAlignment="1" applyProtection="1">
      <alignment horizontal="left" vertical="center"/>
    </xf>
    <xf numFmtId="0" fontId="4" fillId="0" borderId="88" xfId="0" applyFont="1" applyFill="1" applyBorder="1" applyAlignment="1" applyProtection="1">
      <alignment horizontal="center"/>
    </xf>
    <xf numFmtId="0" fontId="4" fillId="0" borderId="89" xfId="0" applyFont="1" applyFill="1" applyBorder="1" applyAlignment="1" applyProtection="1">
      <alignment horizontal="center"/>
    </xf>
    <xf numFmtId="0" fontId="4" fillId="0" borderId="84" xfId="0" applyFont="1" applyFill="1" applyBorder="1" applyAlignment="1" applyProtection="1">
      <alignment horizontal="center"/>
    </xf>
    <xf numFmtId="0" fontId="4" fillId="0" borderId="77" xfId="0" applyFont="1" applyFill="1" applyBorder="1" applyAlignment="1" applyProtection="1">
      <alignment horizontal="center"/>
    </xf>
    <xf numFmtId="0" fontId="4" fillId="4" borderId="85" xfId="0" applyFont="1" applyFill="1" applyBorder="1" applyAlignment="1" applyProtection="1">
      <alignment horizontal="center"/>
    </xf>
    <xf numFmtId="0" fontId="4" fillId="4" borderId="79" xfId="0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0" fontId="6" fillId="6" borderId="80" xfId="0" applyFont="1" applyFill="1" applyBorder="1" applyAlignment="1" applyProtection="1">
      <alignment horizontal="center"/>
    </xf>
    <xf numFmtId="0" fontId="4" fillId="0" borderId="88" xfId="0" applyFont="1" applyBorder="1" applyAlignment="1" applyProtection="1">
      <alignment horizontal="center"/>
    </xf>
    <xf numFmtId="0" fontId="4" fillId="0" borderId="89" xfId="0" applyFont="1" applyBorder="1" applyAlignment="1" applyProtection="1">
      <alignment horizontal="center"/>
    </xf>
    <xf numFmtId="0" fontId="4" fillId="5" borderId="85" xfId="0" applyFont="1" applyFill="1" applyBorder="1" applyAlignment="1" applyProtection="1">
      <alignment horizontal="center"/>
    </xf>
    <xf numFmtId="0" fontId="4" fillId="5" borderId="79" xfId="0" applyFont="1" applyFill="1" applyBorder="1" applyAlignment="1" applyProtection="1">
      <alignment horizontal="center"/>
    </xf>
    <xf numFmtId="0" fontId="4" fillId="0" borderId="72" xfId="0" applyFont="1" applyFill="1" applyBorder="1" applyAlignment="1" applyProtection="1">
      <alignment horizontal="center"/>
    </xf>
    <xf numFmtId="0" fontId="4" fillId="0" borderId="78" xfId="0" applyFont="1" applyFill="1" applyBorder="1" applyAlignment="1" applyProtection="1">
      <alignment horizontal="center"/>
    </xf>
    <xf numFmtId="0" fontId="4" fillId="0" borderId="83" xfId="0" applyFont="1" applyFill="1" applyBorder="1" applyAlignment="1" applyProtection="1">
      <alignment horizontal="center"/>
    </xf>
    <xf numFmtId="0" fontId="4" fillId="0" borderId="76" xfId="0" applyFont="1" applyFill="1" applyBorder="1" applyAlignment="1" applyProtection="1">
      <alignment horizontal="center"/>
    </xf>
    <xf numFmtId="0" fontId="4" fillId="0" borderId="91" xfId="0" applyFont="1" applyBorder="1" applyAlignment="1" applyProtection="1">
      <alignment horizontal="center"/>
    </xf>
    <xf numFmtId="0" fontId="4" fillId="0" borderId="92" xfId="0" applyFont="1" applyBorder="1" applyAlignment="1" applyProtection="1">
      <alignment horizontal="center"/>
    </xf>
    <xf numFmtId="41" fontId="15" fillId="3" borderId="18" xfId="0" applyNumberFormat="1" applyFont="1" applyFill="1" applyBorder="1" applyAlignment="1" applyProtection="1">
      <alignment horizontal="center" vertical="center"/>
    </xf>
    <xf numFmtId="41" fontId="15" fillId="3" borderId="25" xfId="0" applyNumberFormat="1" applyFont="1" applyFill="1" applyBorder="1" applyAlignment="1" applyProtection="1">
      <alignment horizontal="center" vertical="center"/>
    </xf>
    <xf numFmtId="0" fontId="0" fillId="2" borderId="82" xfId="0" applyFill="1" applyBorder="1" applyAlignment="1" applyProtection="1">
      <alignment horizontal="center" vertical="center" wrapText="1"/>
      <protection locked="0"/>
    </xf>
    <xf numFmtId="0" fontId="0" fillId="2" borderId="13" xfId="0" applyFill="1" applyBorder="1" applyAlignment="1" applyProtection="1">
      <alignment horizontal="center" vertical="center" wrapText="1"/>
      <protection locked="0"/>
    </xf>
    <xf numFmtId="38" fontId="0" fillId="2" borderId="82" xfId="1" applyFont="1" applyFill="1" applyBorder="1" applyAlignment="1" applyProtection="1">
      <alignment horizontal="center" vertical="center" wrapText="1"/>
      <protection locked="0"/>
    </xf>
    <xf numFmtId="38" fontId="0" fillId="2" borderId="13" xfId="1" applyFont="1" applyFill="1" applyBorder="1" applyAlignment="1" applyProtection="1">
      <alignment horizontal="center" vertical="center" wrapText="1"/>
      <protection locked="0"/>
    </xf>
    <xf numFmtId="185" fontId="15" fillId="4" borderId="16" xfId="0" applyNumberFormat="1" applyFont="1" applyFill="1" applyBorder="1" applyAlignment="1" applyProtection="1">
      <alignment horizontal="center" vertical="center"/>
    </xf>
    <xf numFmtId="185" fontId="15" fillId="4" borderId="24" xfId="0" applyNumberFormat="1" applyFont="1" applyFill="1" applyBorder="1" applyAlignment="1" applyProtection="1">
      <alignment horizontal="center" vertical="center"/>
    </xf>
    <xf numFmtId="41" fontId="15" fillId="4" borderId="18" xfId="0" applyNumberFormat="1" applyFont="1" applyFill="1" applyBorder="1" applyAlignment="1" applyProtection="1">
      <alignment horizontal="center" vertical="center"/>
    </xf>
    <xf numFmtId="41" fontId="15" fillId="4" borderId="25" xfId="0" applyNumberFormat="1" applyFont="1" applyFill="1" applyBorder="1" applyAlignment="1" applyProtection="1">
      <alignment horizontal="center" vertical="center"/>
    </xf>
    <xf numFmtId="0" fontId="4" fillId="4" borderId="44" xfId="0" applyFont="1" applyFill="1" applyBorder="1" applyAlignment="1" applyProtection="1">
      <alignment vertical="top" wrapText="1"/>
    </xf>
    <xf numFmtId="0" fontId="4" fillId="4" borderId="90" xfId="0" applyFont="1" applyFill="1" applyBorder="1" applyAlignment="1" applyProtection="1">
      <alignment vertical="top" wrapText="1"/>
    </xf>
    <xf numFmtId="0" fontId="4" fillId="4" borderId="40" xfId="0" applyFont="1" applyFill="1" applyBorder="1" applyAlignment="1" applyProtection="1">
      <alignment vertical="top" wrapText="1"/>
    </xf>
    <xf numFmtId="0" fontId="4" fillId="4" borderId="46" xfId="0" applyFont="1" applyFill="1" applyBorder="1" applyAlignment="1" applyProtection="1">
      <alignment vertical="top" wrapText="1"/>
    </xf>
    <xf numFmtId="0" fontId="15" fillId="0" borderId="0" xfId="0" applyNumberFormat="1" applyFont="1" applyAlignment="1" applyProtection="1">
      <alignment vertical="center"/>
    </xf>
    <xf numFmtId="0" fontId="35" fillId="0" borderId="0" xfId="0" applyNumberFormat="1" applyFont="1" applyAlignment="1" applyProtection="1">
      <alignment vertical="center"/>
    </xf>
    <xf numFmtId="184" fontId="3" fillId="4" borderId="57" xfId="0" applyNumberFormat="1" applyFont="1" applyFill="1" applyBorder="1" applyAlignment="1" applyProtection="1">
      <alignment horizontal="center" vertical="center"/>
    </xf>
    <xf numFmtId="184" fontId="3" fillId="4" borderId="19" xfId="0" applyNumberFormat="1" applyFont="1" applyFill="1" applyBorder="1" applyAlignment="1" applyProtection="1">
      <alignment horizontal="center" vertical="center"/>
    </xf>
    <xf numFmtId="0" fontId="8" fillId="0" borderId="33" xfId="0" applyFont="1" applyFill="1" applyBorder="1" applyAlignment="1" applyProtection="1">
      <alignment vertical="center"/>
    </xf>
    <xf numFmtId="0" fontId="8" fillId="0" borderId="56" xfId="0" applyFont="1" applyFill="1" applyBorder="1" applyAlignment="1" applyProtection="1">
      <alignment vertical="center"/>
    </xf>
    <xf numFmtId="0" fontId="8" fillId="0" borderId="23" xfId="0" applyFont="1" applyFill="1" applyBorder="1" applyAlignment="1" applyProtection="1">
      <alignment horizontal="left" vertical="center" shrinkToFit="1"/>
    </xf>
    <xf numFmtId="0" fontId="31" fillId="0" borderId="26" xfId="0" applyFont="1" applyFill="1" applyBorder="1" applyAlignment="1" applyProtection="1">
      <alignment vertical="center" shrinkToFit="1"/>
    </xf>
    <xf numFmtId="0" fontId="0" fillId="0" borderId="1" xfId="0" applyFill="1" applyBorder="1" applyAlignment="1" applyProtection="1">
      <alignment horizontal="center" vertical="center" wrapText="1"/>
    </xf>
    <xf numFmtId="0" fontId="34" fillId="0" borderId="54" xfId="0" applyFont="1" applyBorder="1" applyAlignment="1" applyProtection="1">
      <alignment horizontal="left" vertical="center"/>
    </xf>
    <xf numFmtId="0" fontId="18" fillId="4" borderId="33" xfId="0" applyFont="1" applyFill="1" applyBorder="1" applyAlignment="1" applyProtection="1">
      <alignment horizontal="center" vertical="center"/>
    </xf>
    <xf numFmtId="0" fontId="13" fillId="4" borderId="17" xfId="0" applyFont="1" applyFill="1" applyBorder="1" applyAlignment="1" applyProtection="1">
      <alignment horizontal="center" vertical="center"/>
    </xf>
    <xf numFmtId="0" fontId="18" fillId="4" borderId="22" xfId="0" applyFont="1" applyFill="1" applyBorder="1" applyAlignment="1" applyProtection="1">
      <alignment horizontal="center" vertical="center"/>
    </xf>
    <xf numFmtId="0" fontId="13" fillId="4" borderId="31" xfId="0" applyFont="1" applyFill="1" applyBorder="1" applyAlignment="1" applyProtection="1">
      <alignment horizontal="center" vertical="center"/>
    </xf>
    <xf numFmtId="0" fontId="13" fillId="4" borderId="34" xfId="0" applyFont="1" applyFill="1" applyBorder="1" applyAlignment="1" applyProtection="1">
      <alignment horizontal="center" vertical="center"/>
    </xf>
    <xf numFmtId="0" fontId="11" fillId="3" borderId="81" xfId="0" applyFont="1" applyFill="1" applyBorder="1" applyAlignment="1" applyProtection="1">
      <alignment horizontal="center" vertical="center"/>
    </xf>
    <xf numFmtId="0" fontId="11" fillId="3" borderId="58" xfId="0" applyFont="1" applyFill="1" applyBorder="1" applyAlignment="1" applyProtection="1">
      <alignment horizontal="center" vertical="center"/>
    </xf>
    <xf numFmtId="185" fontId="15" fillId="3" borderId="16" xfId="0" applyNumberFormat="1" applyFont="1" applyFill="1" applyBorder="1" applyAlignment="1" applyProtection="1">
      <alignment horizontal="center" vertical="center"/>
    </xf>
    <xf numFmtId="185" fontId="15" fillId="3" borderId="24" xfId="0" applyNumberFormat="1" applyFont="1" applyFill="1" applyBorder="1" applyAlignment="1" applyProtection="1">
      <alignment horizontal="center" vertical="center"/>
    </xf>
    <xf numFmtId="0" fontId="22" fillId="4" borderId="30" xfId="0" applyFont="1" applyFill="1" applyBorder="1" applyAlignment="1" applyProtection="1">
      <alignment horizontal="center" vertical="center"/>
    </xf>
    <xf numFmtId="0" fontId="22" fillId="4" borderId="25" xfId="0" applyFont="1" applyFill="1" applyBorder="1" applyAlignment="1" applyProtection="1">
      <alignment horizontal="center" vertical="center"/>
    </xf>
    <xf numFmtId="184" fontId="3" fillId="3" borderId="57" xfId="0" applyNumberFormat="1" applyFont="1" applyFill="1" applyBorder="1" applyAlignment="1" applyProtection="1">
      <alignment horizontal="center" vertical="center"/>
    </xf>
    <xf numFmtId="184" fontId="3" fillId="3" borderId="19" xfId="0" applyNumberFormat="1" applyFont="1" applyFill="1" applyBorder="1" applyAlignment="1" applyProtection="1">
      <alignment horizontal="center" vertical="center"/>
    </xf>
    <xf numFmtId="0" fontId="27" fillId="0" borderId="60" xfId="0" applyFont="1" applyBorder="1" applyAlignment="1" applyProtection="1">
      <alignment horizontal="right" vertical="center"/>
      <protection locked="0"/>
    </xf>
    <xf numFmtId="0" fontId="4" fillId="5" borderId="87" xfId="0" applyFont="1" applyFill="1" applyBorder="1" applyAlignment="1" applyProtection="1">
      <alignment vertical="top" wrapText="1"/>
    </xf>
    <xf numFmtId="0" fontId="4" fillId="5" borderId="40" xfId="0" applyFont="1" applyFill="1" applyBorder="1" applyAlignment="1" applyProtection="1">
      <alignment vertical="top" wrapText="1"/>
    </xf>
    <xf numFmtId="0" fontId="4" fillId="5" borderId="46" xfId="0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0" fontId="19" fillId="0" borderId="27" xfId="0" applyFont="1" applyFill="1" applyBorder="1" applyAlignment="1" applyProtection="1">
      <alignment vertical="center"/>
    </xf>
    <xf numFmtId="0" fontId="19" fillId="0" borderId="28" xfId="0" applyFont="1" applyFill="1" applyBorder="1" applyAlignment="1" applyProtection="1">
      <alignment vertical="center"/>
    </xf>
    <xf numFmtId="0" fontId="19" fillId="0" borderId="29" xfId="0" applyFont="1" applyFill="1" applyBorder="1" applyAlignment="1" applyProtection="1">
      <alignment vertical="center"/>
    </xf>
    <xf numFmtId="0" fontId="19" fillId="0" borderId="30" xfId="0" applyFont="1" applyFill="1" applyBorder="1" applyAlignment="1" applyProtection="1">
      <alignment vertical="center"/>
    </xf>
    <xf numFmtId="0" fontId="0" fillId="0" borderId="25" xfId="0" applyFill="1" applyBorder="1" applyAlignment="1" applyProtection="1">
      <alignment vertical="center"/>
    </xf>
    <xf numFmtId="181" fontId="14" fillId="0" borderId="1" xfId="0" applyNumberFormat="1" applyFont="1" applyFill="1" applyBorder="1" applyAlignment="1" applyProtection="1">
      <alignment horizontal="right" vertical="center"/>
    </xf>
    <xf numFmtId="181" fontId="3" fillId="0" borderId="1" xfId="0" applyNumberFormat="1" applyFont="1" applyFill="1" applyBorder="1" applyAlignment="1" applyProtection="1">
      <alignment horizontal="right" vertical="center"/>
    </xf>
    <xf numFmtId="41" fontId="19" fillId="0" borderId="16" xfId="0" applyNumberFormat="1" applyFont="1" applyFill="1" applyBorder="1" applyAlignment="1" applyProtection="1">
      <alignment horizontal="right" vertical="center"/>
    </xf>
    <xf numFmtId="41" fontId="19" fillId="0" borderId="24" xfId="0" applyNumberFormat="1" applyFont="1" applyFill="1" applyBorder="1" applyAlignment="1" applyProtection="1">
      <alignment horizontal="right" vertical="center"/>
    </xf>
    <xf numFmtId="41" fontId="19" fillId="0" borderId="18" xfId="0" applyNumberFormat="1" applyFont="1" applyFill="1" applyBorder="1" applyAlignment="1" applyProtection="1">
      <alignment horizontal="right" vertical="center"/>
    </xf>
    <xf numFmtId="41" fontId="19" fillId="0" borderId="25" xfId="0" applyNumberFormat="1" applyFont="1" applyFill="1" applyBorder="1" applyAlignment="1" applyProtection="1">
      <alignment horizontal="right" vertical="center"/>
    </xf>
    <xf numFmtId="0" fontId="0" fillId="0" borderId="21" xfId="0" applyFill="1" applyBorder="1" applyAlignment="1" applyProtection="1">
      <alignment horizontal="center" vertical="center" shrinkToFit="1"/>
    </xf>
    <xf numFmtId="0" fontId="0" fillId="0" borderId="13" xfId="0" applyFill="1" applyBorder="1" applyAlignment="1" applyProtection="1">
      <alignment horizontal="center" vertical="center" shrinkToFit="1"/>
    </xf>
    <xf numFmtId="181" fontId="17" fillId="0" borderId="20" xfId="0" applyNumberFormat="1" applyFont="1" applyFill="1" applyBorder="1" applyAlignment="1" applyProtection="1">
      <alignment horizontal="right" vertical="center"/>
    </xf>
    <xf numFmtId="181" fontId="0" fillId="0" borderId="66" xfId="0" applyNumberFormat="1" applyFill="1" applyBorder="1" applyAlignment="1" applyProtection="1">
      <alignment horizontal="right" vertical="center"/>
    </xf>
    <xf numFmtId="0" fontId="18" fillId="3" borderId="33" xfId="0" applyFont="1" applyFill="1" applyBorder="1" applyAlignment="1" applyProtection="1">
      <alignment horizontal="center" vertical="center"/>
    </xf>
    <xf numFmtId="0" fontId="13" fillId="3" borderId="17" xfId="0" applyFont="1" applyFill="1" applyBorder="1" applyAlignment="1" applyProtection="1">
      <alignment horizontal="center" vertical="center"/>
    </xf>
    <xf numFmtId="0" fontId="18" fillId="3" borderId="22" xfId="0" applyFont="1" applyFill="1" applyBorder="1" applyAlignment="1" applyProtection="1">
      <alignment horizontal="center" vertical="center"/>
    </xf>
    <xf numFmtId="0" fontId="13" fillId="3" borderId="31" xfId="0" applyFont="1" applyFill="1" applyBorder="1" applyAlignment="1" applyProtection="1">
      <alignment horizontal="center" vertical="center"/>
    </xf>
    <xf numFmtId="0" fontId="13" fillId="3" borderId="34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 wrapText="1"/>
    </xf>
    <xf numFmtId="181" fontId="17" fillId="0" borderId="60" xfId="0" applyNumberFormat="1" applyFont="1" applyFill="1" applyBorder="1" applyAlignment="1" applyProtection="1">
      <alignment horizontal="right" vertical="center"/>
    </xf>
    <xf numFmtId="181" fontId="0" fillId="0" borderId="68" xfId="0" applyNumberFormat="1" applyFill="1" applyBorder="1" applyAlignment="1" applyProtection="1">
      <alignment horizontal="right" vertical="center"/>
    </xf>
    <xf numFmtId="0" fontId="22" fillId="3" borderId="30" xfId="0" applyFont="1" applyFill="1" applyBorder="1" applyAlignment="1" applyProtection="1">
      <alignment horizontal="center" vertical="center"/>
    </xf>
    <xf numFmtId="0" fontId="22" fillId="3" borderId="25" xfId="0" applyFont="1" applyFill="1" applyBorder="1" applyAlignment="1" applyProtection="1">
      <alignment horizontal="center" vertical="center"/>
    </xf>
    <xf numFmtId="0" fontId="17" fillId="0" borderId="69" xfId="0" applyFont="1" applyFill="1" applyBorder="1" applyAlignment="1" applyProtection="1">
      <alignment horizontal="center" vertical="center"/>
    </xf>
    <xf numFmtId="181" fontId="17" fillId="0" borderId="12" xfId="0" applyNumberFormat="1" applyFont="1" applyFill="1" applyBorder="1" applyAlignment="1" applyProtection="1">
      <alignment horizontal="right" vertical="center"/>
    </xf>
    <xf numFmtId="181" fontId="17" fillId="0" borderId="13" xfId="0" applyNumberFormat="1" applyFont="1" applyFill="1" applyBorder="1" applyAlignment="1" applyProtection="1">
      <alignment horizontal="right" vertical="center"/>
    </xf>
    <xf numFmtId="0" fontId="10" fillId="0" borderId="12" xfId="0" applyFont="1" applyFill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 wrapText="1"/>
    </xf>
    <xf numFmtId="0" fontId="16" fillId="0" borderId="12" xfId="0" applyFont="1" applyFill="1" applyBorder="1" applyAlignment="1" applyProtection="1">
      <alignment horizontal="center" vertical="center"/>
    </xf>
    <xf numFmtId="0" fontId="0" fillId="0" borderId="13" xfId="0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181" fontId="17" fillId="0" borderId="1" xfId="0" applyNumberFormat="1" applyFont="1" applyFill="1" applyBorder="1" applyAlignment="1" applyProtection="1">
      <alignment horizontal="right" vertical="center"/>
    </xf>
    <xf numFmtId="181" fontId="0" fillId="0" borderId="1" xfId="0" applyNumberFormat="1" applyFill="1" applyBorder="1" applyAlignment="1" applyProtection="1">
      <alignment horizontal="right" vertical="center"/>
    </xf>
    <xf numFmtId="0" fontId="0" fillId="0" borderId="96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9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FFDE75"/>
      <color rgb="FFFFE389"/>
      <color rgb="FFCDDEF3"/>
      <color rgb="FFFFCC99"/>
      <color rgb="FF66FF66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86621351329527E-2"/>
          <c:y val="8.0850663519169225E-2"/>
          <c:w val="0.88359601970059565"/>
          <c:h val="0.79071133640514746"/>
        </c:manualLayout>
      </c:layout>
      <c:lineChart>
        <c:grouping val="standard"/>
        <c:varyColors val="0"/>
        <c:ser>
          <c:idx val="0"/>
          <c:order val="0"/>
          <c:tx>
            <c:v>既設照明使用時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val>
            <c:numRef>
              <c:f>コストシミュレーション!$E$53:$T$53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LED照明使用時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val>
            <c:numRef>
              <c:f>コストシミュレーション!$E$58:$T$58</c:f>
              <c:numCache>
                <c:formatCode>#,##0_);[Red]\(#,##0\)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974392"/>
        <c:axId val="242974784"/>
      </c:lineChart>
      <c:dateAx>
        <c:axId val="242974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28575"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noFill/>
              </a:defRPr>
            </a:pPr>
            <a:endParaRPr lang="ja-JP"/>
          </a:p>
        </c:txPr>
        <c:crossAx val="242974784"/>
        <c:crosses val="autoZero"/>
        <c:auto val="0"/>
        <c:lblOffset val="100"/>
        <c:baseTimeUnit val="days"/>
      </c:dateAx>
      <c:valAx>
        <c:axId val="2429747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_);[Red]\(#,##0\)" sourceLinked="1"/>
        <c:majorTickMark val="out"/>
        <c:minorTickMark val="none"/>
        <c:tickLblPos val="nextTo"/>
        <c:spPr>
          <a:ln w="28575">
            <a:solidFill>
              <a:schemeClr val="tx1"/>
            </a:solidFill>
          </a:ln>
        </c:spPr>
        <c:crossAx val="242974392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0133783753237431"/>
          <c:y val="0.67943821626845358"/>
          <c:w val="0.13305864833751377"/>
          <c:h val="0.100722923694116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28</xdr:row>
      <xdr:rowOff>0</xdr:rowOff>
    </xdr:from>
    <xdr:to>
      <xdr:col>21</xdr:col>
      <xdr:colOff>79240</xdr:colOff>
      <xdr:row>48</xdr:row>
      <xdr:rowOff>107257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517942</xdr:colOff>
      <xdr:row>44</xdr:row>
      <xdr:rowOff>65373</xdr:rowOff>
    </xdr:from>
    <xdr:to>
      <xdr:col>20</xdr:col>
      <xdr:colOff>174407</xdr:colOff>
      <xdr:row>45</xdr:row>
      <xdr:rowOff>106601</xdr:rowOff>
    </xdr:to>
    <xdr:sp macro="" textlink="">
      <xdr:nvSpPr>
        <xdr:cNvPr id="12" name="タイトル 1"/>
        <xdr:cNvSpPr txBox="1">
          <a:spLocks/>
        </xdr:cNvSpPr>
      </xdr:nvSpPr>
      <xdr:spPr>
        <a:xfrm>
          <a:off x="15713118" y="13097814"/>
          <a:ext cx="1314936" cy="209316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>
              <a:latin typeface="+mn-ea"/>
              <a:cs typeface="+mj-cs"/>
            </a:rPr>
            <a:t>経過年数（年）</a:t>
          </a:r>
          <a:endParaRPr kumimoji="1" lang="ja-JP" altLang="en-US" sz="1100" b="0" i="0" u="none" strike="noStrike" kern="1200" cap="none" spc="0" normalizeH="0" baseline="0">
            <a:ln>
              <a:noFill/>
            </a:ln>
            <a:solidFill>
              <a:schemeClr val="tx1"/>
            </a:solidFill>
            <a:effectLst/>
            <a:uLnTx/>
            <a:uFillTx/>
            <a:latin typeface="+mn-ea"/>
            <a:cs typeface="+mj-cs"/>
          </a:endParaRPr>
        </a:p>
      </xdr:txBody>
    </xdr:sp>
    <xdr:clientData/>
  </xdr:twoCellAnchor>
  <xdr:twoCellAnchor>
    <xdr:from>
      <xdr:col>3</xdr:col>
      <xdr:colOff>476323</xdr:colOff>
      <xdr:row>27</xdr:row>
      <xdr:rowOff>85943</xdr:rowOff>
    </xdr:from>
    <xdr:to>
      <xdr:col>4</xdr:col>
      <xdr:colOff>680358</xdr:colOff>
      <xdr:row>29</xdr:row>
      <xdr:rowOff>81641</xdr:rowOff>
    </xdr:to>
    <xdr:sp macro="" textlink="">
      <xdr:nvSpPr>
        <xdr:cNvPr id="13" name="タイトル 1"/>
        <xdr:cNvSpPr>
          <a:spLocks noGrp="1"/>
        </xdr:cNvSpPr>
      </xdr:nvSpPr>
      <xdr:spPr>
        <a:xfrm>
          <a:off x="3197752" y="6590157"/>
          <a:ext cx="1034070" cy="40391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1200">
              <a:latin typeface="+mn-ea"/>
              <a:ea typeface="+mn-ea"/>
            </a:rPr>
            <a:t>累計費用（円）</a:t>
          </a:r>
        </a:p>
      </xdr:txBody>
    </xdr:sp>
    <xdr:clientData/>
  </xdr:twoCellAnchor>
  <xdr:twoCellAnchor editAs="oneCell">
    <xdr:from>
      <xdr:col>0</xdr:col>
      <xdr:colOff>0</xdr:colOff>
      <xdr:row>61</xdr:row>
      <xdr:rowOff>0</xdr:rowOff>
    </xdr:from>
    <xdr:to>
      <xdr:col>22</xdr:col>
      <xdr:colOff>529366</xdr:colOff>
      <xdr:row>136</xdr:row>
      <xdr:rowOff>25611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696265"/>
          <a:ext cx="18389942" cy="126322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255309</xdr:colOff>
      <xdr:row>10</xdr:row>
      <xdr:rowOff>0</xdr:rowOff>
    </xdr:from>
    <xdr:to>
      <xdr:col>11</xdr:col>
      <xdr:colOff>0</xdr:colOff>
      <xdr:row>11</xdr:row>
      <xdr:rowOff>127655</xdr:rowOff>
    </xdr:to>
    <xdr:sp macro="" textlink="">
      <xdr:nvSpPr>
        <xdr:cNvPr id="2" name="テキスト ボックス 1"/>
        <xdr:cNvSpPr txBox="1"/>
      </xdr:nvSpPr>
      <xdr:spPr>
        <a:xfrm>
          <a:off x="7089742" y="2150490"/>
          <a:ext cx="2219227" cy="432062"/>
        </a:xfrm>
        <a:prstGeom prst="rect">
          <a:avLst/>
        </a:prstGeom>
        <a:solidFill>
          <a:srgbClr val="FFDE75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/>
            <a:t>【</a:t>
          </a:r>
          <a:r>
            <a:rPr kumimoji="1" lang="ja-JP" altLang="en-US" sz="1400" b="1"/>
            <a:t>年間電気料金</a:t>
          </a:r>
          <a:r>
            <a:rPr kumimoji="1" lang="en-US" altLang="ja-JP" sz="1400" b="1"/>
            <a:t>】</a:t>
          </a:r>
          <a:endParaRPr kumimoji="1" lang="ja-JP" altLang="en-US" sz="1400" b="1"/>
        </a:p>
      </xdr:txBody>
    </xdr:sp>
    <xdr:clientData/>
  </xdr:twoCellAnchor>
  <xdr:twoCellAnchor>
    <xdr:from>
      <xdr:col>8</xdr:col>
      <xdr:colOff>255309</xdr:colOff>
      <xdr:row>11</xdr:row>
      <xdr:rowOff>127655</xdr:rowOff>
    </xdr:from>
    <xdr:to>
      <xdr:col>11</xdr:col>
      <xdr:colOff>0</xdr:colOff>
      <xdr:row>13</xdr:row>
      <xdr:rowOff>0</xdr:rowOff>
    </xdr:to>
    <xdr:sp macro="" textlink="Sheet1!H112">
      <xdr:nvSpPr>
        <xdr:cNvPr id="7" name="テキスト ボックス 6"/>
        <xdr:cNvSpPr txBox="1"/>
      </xdr:nvSpPr>
      <xdr:spPr>
        <a:xfrm>
          <a:off x="7089742" y="2582552"/>
          <a:ext cx="2219227" cy="481159"/>
        </a:xfrm>
        <a:prstGeom prst="rect">
          <a:avLst/>
        </a:prstGeom>
        <a:solidFill>
          <a:srgbClr val="FFDE75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4DF3B40-6865-48E5-BB02-3B974DB1AA23}" type="TxLink">
            <a:rPr kumimoji="1" lang="en-US" altLang="en-US" sz="2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　円</a:t>
          </a:fld>
          <a:endParaRPr kumimoji="1" lang="ja-JP" altLang="en-US" sz="2800" b="0"/>
        </a:p>
      </xdr:txBody>
    </xdr:sp>
    <xdr:clientData/>
  </xdr:twoCellAnchor>
  <xdr:twoCellAnchor>
    <xdr:from>
      <xdr:col>8</xdr:col>
      <xdr:colOff>255309</xdr:colOff>
      <xdr:row>19</xdr:row>
      <xdr:rowOff>0</xdr:rowOff>
    </xdr:from>
    <xdr:to>
      <xdr:col>11</xdr:col>
      <xdr:colOff>0</xdr:colOff>
      <xdr:row>20</xdr:row>
      <xdr:rowOff>127655</xdr:rowOff>
    </xdr:to>
    <xdr:sp macro="" textlink="">
      <xdr:nvSpPr>
        <xdr:cNvPr id="8" name="テキスト ボックス 7"/>
        <xdr:cNvSpPr txBox="1"/>
      </xdr:nvSpPr>
      <xdr:spPr>
        <a:xfrm>
          <a:off x="7089742" y="4399175"/>
          <a:ext cx="2219227" cy="43206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/>
            <a:t>【</a:t>
          </a:r>
          <a:r>
            <a:rPr kumimoji="1" lang="ja-JP" altLang="en-US" sz="1400" b="1"/>
            <a:t>年間電気料金</a:t>
          </a:r>
          <a:r>
            <a:rPr kumimoji="1" lang="en-US" altLang="ja-JP" sz="1400" b="1"/>
            <a:t>】</a:t>
          </a:r>
          <a:endParaRPr kumimoji="1" lang="ja-JP" altLang="en-US" sz="1400" b="1"/>
        </a:p>
      </xdr:txBody>
    </xdr:sp>
    <xdr:clientData/>
  </xdr:twoCellAnchor>
  <xdr:twoCellAnchor>
    <xdr:from>
      <xdr:col>8</xdr:col>
      <xdr:colOff>255309</xdr:colOff>
      <xdr:row>20</xdr:row>
      <xdr:rowOff>127655</xdr:rowOff>
    </xdr:from>
    <xdr:to>
      <xdr:col>11</xdr:col>
      <xdr:colOff>0</xdr:colOff>
      <xdr:row>22</xdr:row>
      <xdr:rowOff>0</xdr:rowOff>
    </xdr:to>
    <xdr:sp macro="" textlink="Sheet1!J112">
      <xdr:nvSpPr>
        <xdr:cNvPr id="9" name="テキスト ボックス 8"/>
        <xdr:cNvSpPr txBox="1"/>
      </xdr:nvSpPr>
      <xdr:spPr>
        <a:xfrm>
          <a:off x="7089742" y="4831237"/>
          <a:ext cx="2219227" cy="4811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BEF739-9768-4901-88AE-169FC1C7E69C}" type="TxLink">
            <a:rPr kumimoji="1" lang="en-US" altLang="en-US" sz="2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　円</a:t>
          </a:fld>
          <a:endParaRPr kumimoji="1" lang="ja-JP" altLang="en-US" sz="28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94"/>
  <sheetViews>
    <sheetView showGridLines="0" tabSelected="1" view="pageBreakPreview" zoomScale="97" zoomScaleNormal="97" zoomScaleSheetLayoutView="97" workbookViewId="0">
      <selection activeCell="C6" sqref="C6"/>
    </sheetView>
  </sheetViews>
  <sheetFormatPr defaultRowHeight="13.5" x14ac:dyDescent="0.15"/>
  <cols>
    <col min="1" max="1" width="2.125" style="2" customWidth="1"/>
    <col min="2" max="2" width="22.625" style="2" customWidth="1"/>
    <col min="3" max="20" width="10.875" style="2" customWidth="1"/>
    <col min="21" max="21" width="7.875" style="2" customWidth="1"/>
    <col min="22" max="22" width="5.75" style="2" bestFit="1" customWidth="1"/>
    <col min="23" max="16384" width="9" style="2"/>
  </cols>
  <sheetData>
    <row r="1" spans="1:24" ht="24" x14ac:dyDescent="0.15">
      <c r="A1" s="118"/>
      <c r="B1" s="293"/>
      <c r="C1" s="293"/>
      <c r="D1" s="293"/>
      <c r="E1" s="119" t="s">
        <v>31</v>
      </c>
    </row>
    <row r="2" spans="1:24" s="3" customFormat="1" ht="18.75" x14ac:dyDescent="0.15">
      <c r="B2" s="270" t="str">
        <f>"～既設照明("&amp;IF(既灯1名称="",既灯1型式,既灯1名称)&amp;")"&amp;IF(既灯2名称="",IF(既灯2型式="","","と"&amp;"("&amp;既灯2型式&amp;")"),"と"&amp;"("&amp;既灯2名称&amp;")")&amp;"→"</f>
        <v>～既設照明()→</v>
      </c>
      <c r="C2" s="270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</row>
    <row r="3" spans="1:24" s="3" customFormat="1" ht="18.75" x14ac:dyDescent="0.15">
      <c r="B3" s="270" t="str">
        <f>IF(新灯1名称="",新灯1型式,新灯1名称)&amp;IF(新灯2名称="",IF(新灯2型式="","","と"&amp;新灯2型式),"と"&amp;新灯2名称)&amp;"変更後　使用電力変化と費用対効果について～"</f>
        <v>変更後　使用電力変化と費用対効果について～</v>
      </c>
      <c r="C3" s="270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</row>
    <row r="4" spans="1:24" s="3" customFormat="1" ht="6" customHeight="1" thickBot="1" x14ac:dyDescent="0.2">
      <c r="B4" s="115"/>
      <c r="C4" s="115"/>
      <c r="D4" s="116"/>
      <c r="E4" s="116"/>
    </row>
    <row r="5" spans="1:24" s="3" customFormat="1" ht="15" customHeight="1" thickTop="1" thickBot="1" x14ac:dyDescent="0.2">
      <c r="B5" s="135" t="s">
        <v>42</v>
      </c>
      <c r="C5" s="160" t="s">
        <v>53</v>
      </c>
      <c r="D5" s="158" t="s">
        <v>54</v>
      </c>
      <c r="E5" s="159" t="s">
        <v>55</v>
      </c>
      <c r="F5" s="159" t="s">
        <v>56</v>
      </c>
      <c r="H5" s="212" t="s">
        <v>115</v>
      </c>
      <c r="I5" s="230" t="s">
        <v>175</v>
      </c>
      <c r="J5" s="231"/>
      <c r="K5" s="231"/>
      <c r="L5" s="222" t="s">
        <v>121</v>
      </c>
      <c r="M5" s="128"/>
      <c r="N5" s="234" t="s">
        <v>45</v>
      </c>
      <c r="O5" s="235"/>
      <c r="P5" s="127" t="str">
        <f>C5</f>
        <v>既設灯具1</v>
      </c>
      <c r="Q5" s="127" t="str">
        <f>D5</f>
        <v>既設灯具2</v>
      </c>
      <c r="R5" s="127" t="str">
        <f>E5</f>
        <v>新設灯具1</v>
      </c>
      <c r="S5" s="127" t="str">
        <f>F5</f>
        <v>新設灯具2</v>
      </c>
    </row>
    <row r="6" spans="1:24" s="3" customFormat="1" ht="15" customHeight="1" thickBot="1" x14ac:dyDescent="0.2">
      <c r="B6" s="135" t="s">
        <v>29</v>
      </c>
      <c r="C6" s="209"/>
      <c r="D6" s="156"/>
      <c r="E6" s="157"/>
      <c r="F6" s="157"/>
      <c r="H6" s="190" t="s">
        <v>26</v>
      </c>
      <c r="I6" s="188"/>
      <c r="J6" s="189"/>
      <c r="K6" s="206">
        <f>IF(L6="",Sheet1!B4,L6)</f>
        <v>1863</v>
      </c>
      <c r="L6" s="199"/>
      <c r="M6" s="198"/>
      <c r="N6" s="236" t="s">
        <v>48</v>
      </c>
      <c r="O6" s="279"/>
      <c r="P6" s="123">
        <f>SUM(P7:P8)</f>
        <v>0</v>
      </c>
      <c r="Q6" s="123">
        <f>SUM(Q7:Q8)</f>
        <v>0</v>
      </c>
      <c r="R6" s="125">
        <f>SUM(R7:R8)</f>
        <v>0</v>
      </c>
      <c r="S6" s="125">
        <f>SUM(S7:S8)</f>
        <v>0</v>
      </c>
    </row>
    <row r="7" spans="1:24" s="3" customFormat="1" ht="15" customHeight="1" thickBot="1" x14ac:dyDescent="0.2">
      <c r="B7" s="155" t="s">
        <v>46</v>
      </c>
      <c r="C7" s="210"/>
      <c r="D7" s="156"/>
      <c r="E7" s="157"/>
      <c r="F7" s="157"/>
      <c r="H7" s="122" t="s">
        <v>122</v>
      </c>
      <c r="I7" s="117"/>
      <c r="J7" s="136" t="s">
        <v>43</v>
      </c>
      <c r="K7" s="200">
        <f>IF(L7="",Sheet1!C4,L7)</f>
        <v>15.85</v>
      </c>
      <c r="L7" s="156"/>
      <c r="M7" s="198"/>
      <c r="N7" s="236" t="s">
        <v>59</v>
      </c>
      <c r="O7" s="237"/>
      <c r="P7" s="126">
        <f t="shared" ref="P7:S8" si="0">C$6*C7</f>
        <v>0</v>
      </c>
      <c r="Q7" s="126">
        <f t="shared" si="0"/>
        <v>0</v>
      </c>
      <c r="R7" s="126">
        <f t="shared" si="0"/>
        <v>0</v>
      </c>
      <c r="S7" s="126">
        <f t="shared" si="0"/>
        <v>0</v>
      </c>
    </row>
    <row r="8" spans="1:24" ht="15" customHeight="1" thickBot="1" x14ac:dyDescent="0.2">
      <c r="B8" s="124" t="s">
        <v>47</v>
      </c>
      <c r="C8" s="211"/>
      <c r="D8" s="156"/>
      <c r="E8" s="157"/>
      <c r="F8" s="157"/>
      <c r="H8" s="121"/>
      <c r="I8" s="120"/>
      <c r="J8" s="137" t="s">
        <v>44</v>
      </c>
      <c r="K8" s="200">
        <f>IF(L8="",Sheet1!D4,L8)</f>
        <v>14.92</v>
      </c>
      <c r="L8" s="213"/>
      <c r="M8" s="198"/>
      <c r="N8" s="236" t="s">
        <v>58</v>
      </c>
      <c r="O8" s="237"/>
      <c r="P8" s="126">
        <f t="shared" si="0"/>
        <v>0</v>
      </c>
      <c r="Q8" s="126">
        <f t="shared" si="0"/>
        <v>0</v>
      </c>
      <c r="R8" s="126">
        <f t="shared" si="0"/>
        <v>0</v>
      </c>
      <c r="S8" s="126">
        <f t="shared" si="0"/>
        <v>0</v>
      </c>
    </row>
    <row r="9" spans="1:24" ht="25.5" customHeight="1" x14ac:dyDescent="0.15">
      <c r="E9" s="4"/>
      <c r="F9" s="3"/>
      <c r="G9" s="5"/>
      <c r="H9" s="228" t="s">
        <v>188</v>
      </c>
      <c r="I9" s="229"/>
      <c r="J9" s="229"/>
      <c r="K9" s="229"/>
      <c r="L9" s="229"/>
      <c r="M9" s="141"/>
      <c r="N9" s="97"/>
      <c r="O9" s="141"/>
      <c r="P9" s="141"/>
    </row>
    <row r="10" spans="1:24" ht="18" thickBot="1" x14ac:dyDescent="0.2">
      <c r="B10" s="6" t="s">
        <v>33</v>
      </c>
      <c r="C10" s="6"/>
      <c r="D10" s="7"/>
      <c r="E10" s="7"/>
      <c r="F10" s="7"/>
      <c r="G10" s="7"/>
      <c r="H10" s="7"/>
      <c r="I10" s="7"/>
      <c r="J10" s="8"/>
      <c r="K10" s="8"/>
      <c r="M10" s="53" t="s">
        <v>37</v>
      </c>
      <c r="N10" s="20"/>
      <c r="O10" s="20"/>
      <c r="P10" s="52"/>
      <c r="Q10" s="20"/>
      <c r="R10" s="20"/>
      <c r="S10" s="20"/>
      <c r="T10" s="20"/>
      <c r="U10" s="20"/>
      <c r="V10" s="20"/>
      <c r="W10" s="20"/>
      <c r="X10" s="129"/>
    </row>
    <row r="11" spans="1:24" ht="24" x14ac:dyDescent="0.15">
      <c r="B11" s="150" t="s">
        <v>51</v>
      </c>
      <c r="C11" s="285" t="s">
        <v>52</v>
      </c>
      <c r="D11" s="286"/>
      <c r="E11" s="9" t="s">
        <v>36</v>
      </c>
      <c r="F11" s="9" t="s">
        <v>0</v>
      </c>
      <c r="G11" s="10" t="s">
        <v>10</v>
      </c>
      <c r="H11" s="11" t="s">
        <v>11</v>
      </c>
      <c r="I11" s="12"/>
      <c r="J11" s="13"/>
      <c r="K11" s="14"/>
      <c r="M11" s="278" t="s">
        <v>12</v>
      </c>
      <c r="N11" s="278"/>
      <c r="O11" s="103" t="s">
        <v>34</v>
      </c>
      <c r="P11" s="202" t="s">
        <v>16</v>
      </c>
      <c r="Q11" s="59" t="s">
        <v>13</v>
      </c>
      <c r="R11" s="329" t="s">
        <v>14</v>
      </c>
      <c r="S11" s="330"/>
      <c r="T11" s="202" t="s">
        <v>15</v>
      </c>
      <c r="U11" s="310" t="s">
        <v>41</v>
      </c>
      <c r="V11" s="311"/>
      <c r="W11" s="129"/>
      <c r="X11" s="110"/>
    </row>
    <row r="12" spans="1:24" s="20" customFormat="1" ht="24" customHeight="1" x14ac:dyDescent="0.15">
      <c r="B12" s="151"/>
      <c r="C12" s="260"/>
      <c r="D12" s="261"/>
      <c r="E12" s="1"/>
      <c r="F12" s="1"/>
      <c r="G12" s="16">
        <f>P6</f>
        <v>0</v>
      </c>
      <c r="H12" s="17">
        <f>IF(ISERROR(既灯1消費*既灯1本数),"",SUM((既灯1消費/1000)*既灯1本数*G12))</f>
        <v>0</v>
      </c>
      <c r="I12" s="18"/>
      <c r="J12" s="8"/>
      <c r="K12" s="161"/>
      <c r="M12" s="331" t="str">
        <f>IF(既灯1名称="",IF(既灯1型式="","",既灯1型式),既灯1名称)</f>
        <v/>
      </c>
      <c r="N12" s="331"/>
      <c r="O12" s="102"/>
      <c r="P12" s="225"/>
      <c r="Q12" s="207" t="str">
        <f>IF(F12="","",F12)</f>
        <v/>
      </c>
      <c r="R12" s="325" t="str">
        <f>IF(ISERROR(O12*Q12),"",O12*Q12)</f>
        <v/>
      </c>
      <c r="S12" s="326"/>
      <c r="T12" s="60" t="s">
        <v>17</v>
      </c>
      <c r="U12" s="112" t="str">
        <f>IF(P12="","",ROUNDUP(P12/P6,0))</f>
        <v/>
      </c>
      <c r="V12" s="113" t="s">
        <v>40</v>
      </c>
      <c r="W12" s="109"/>
      <c r="X12" s="130"/>
    </row>
    <row r="13" spans="1:24" s="20" customFormat="1" ht="24" customHeight="1" x14ac:dyDescent="0.15">
      <c r="B13" s="151"/>
      <c r="C13" s="258"/>
      <c r="D13" s="259"/>
      <c r="E13" s="1"/>
      <c r="F13" s="138"/>
      <c r="G13" s="16">
        <f>Q6</f>
        <v>0</v>
      </c>
      <c r="H13" s="17">
        <f>IF(ISERROR(既灯2消費*既灯2本数),"",SUM((既灯2消費/1000)*既灯2本数*G13))</f>
        <v>0</v>
      </c>
      <c r="I13" s="18"/>
      <c r="J13" s="224"/>
      <c r="K13" s="161"/>
      <c r="M13" s="327" t="str">
        <f>IF(既灯2名称="",IF(既灯2型式="","",既灯2型式),既灯2名称)</f>
        <v/>
      </c>
      <c r="N13" s="328"/>
      <c r="O13" s="102"/>
      <c r="P13" s="226"/>
      <c r="Q13" s="207" t="str">
        <f>IF(F13="","",F13)</f>
        <v/>
      </c>
      <c r="R13" s="325" t="str">
        <f>IF(ISERROR(O13*Q13),"",O13*Q13)</f>
        <v/>
      </c>
      <c r="S13" s="326"/>
      <c r="T13" s="143" t="s">
        <v>57</v>
      </c>
      <c r="U13" s="112" t="str">
        <f>IF(P13="","",ROUNDUP(P13/Q6,0))</f>
        <v/>
      </c>
      <c r="V13" s="113" t="s">
        <v>40</v>
      </c>
      <c r="W13" s="130"/>
      <c r="X13" s="130"/>
    </row>
    <row r="14" spans="1:24" ht="17.25" customHeight="1" thickBot="1" x14ac:dyDescent="0.2">
      <c r="B14" s="93"/>
      <c r="C14" s="94"/>
      <c r="D14" s="94"/>
      <c r="E14" s="94"/>
      <c r="F14" s="21" t="s">
        <v>8</v>
      </c>
      <c r="G14" s="291">
        <f>SUM(H12:H13)</f>
        <v>0</v>
      </c>
      <c r="H14" s="292"/>
      <c r="I14" s="8"/>
      <c r="J14" s="14"/>
      <c r="K14" s="14"/>
      <c r="M14" s="15"/>
      <c r="N14" s="319"/>
      <c r="O14" s="298"/>
      <c r="P14" s="298"/>
      <c r="Q14" s="142" t="s">
        <v>18</v>
      </c>
      <c r="R14" s="320">
        <f>SUM($R$12:$R$13)</f>
        <v>0</v>
      </c>
      <c r="S14" s="321"/>
      <c r="T14" s="324"/>
      <c r="U14" s="298"/>
      <c r="V14" s="203"/>
      <c r="W14" s="130"/>
      <c r="X14" s="130"/>
    </row>
    <row r="15" spans="1:24" ht="13.5" customHeight="1" thickBot="1" x14ac:dyDescent="0.2">
      <c r="B15" s="8"/>
      <c r="C15" s="8"/>
      <c r="D15" s="8"/>
      <c r="E15" s="8"/>
      <c r="F15" s="223" t="s">
        <v>210</v>
      </c>
      <c r="G15" s="223"/>
      <c r="H15" s="8"/>
      <c r="I15" s="8"/>
      <c r="J15" s="8"/>
      <c r="K15" s="8"/>
      <c r="M15" s="15"/>
      <c r="N15" s="205"/>
      <c r="O15" s="204"/>
      <c r="Q15" s="61"/>
      <c r="R15" s="139"/>
      <c r="S15" s="140"/>
      <c r="T15" s="64"/>
      <c r="U15" s="204"/>
      <c r="V15" s="203"/>
      <c r="W15" s="130"/>
    </row>
    <row r="16" spans="1:24" ht="24" customHeight="1" x14ac:dyDescent="0.15">
      <c r="B16" s="22" t="s">
        <v>208</v>
      </c>
      <c r="C16" s="287">
        <f>G14</f>
        <v>0</v>
      </c>
      <c r="D16" s="288"/>
      <c r="E16" s="23" t="s">
        <v>212</v>
      </c>
      <c r="F16" s="8"/>
      <c r="G16" s="314" t="s">
        <v>35</v>
      </c>
      <c r="H16" s="315"/>
      <c r="I16" s="316" t="s">
        <v>30</v>
      </c>
      <c r="J16" s="317"/>
      <c r="K16" s="318"/>
      <c r="N16" s="205"/>
      <c r="O16" s="204"/>
      <c r="Q16" s="61"/>
      <c r="R16" s="62"/>
      <c r="S16" s="63"/>
      <c r="T16" s="64"/>
      <c r="U16" s="297"/>
      <c r="V16" s="298"/>
    </row>
    <row r="17" spans="2:24" ht="24" customHeight="1" thickBot="1" x14ac:dyDescent="0.2">
      <c r="B17" s="24" t="s">
        <v>209</v>
      </c>
      <c r="C17" s="256">
        <f>(既灯1消費*既灯1本数)*(夏季単価*P7+その他季単価*P8)/1000+(既灯2消費*既灯2本数)*(夏季単価*Q7+その他季単価*Q8)/1000</f>
        <v>0</v>
      </c>
      <c r="D17" s="257"/>
      <c r="E17" s="25" t="s">
        <v>22</v>
      </c>
      <c r="F17" s="26"/>
      <c r="G17" s="106">
        <f>既設デマンド*基本料金*12</f>
        <v>0</v>
      </c>
      <c r="H17" s="25" t="s">
        <v>9</v>
      </c>
      <c r="I17" s="322">
        <f>(既灯1消費/1000)*既灯1本数+(既灯2消費/1000)*既灯2本数</f>
        <v>0</v>
      </c>
      <c r="J17" s="323"/>
      <c r="K17" s="27" t="s">
        <v>24</v>
      </c>
    </row>
    <row r="18" spans="2:24" ht="9" customHeight="1" x14ac:dyDescent="0.15">
      <c r="B18" s="20"/>
      <c r="C18" s="20"/>
      <c r="D18" s="28"/>
      <c r="E18" s="20"/>
      <c r="F18" s="20"/>
      <c r="G18" s="20"/>
      <c r="H18" s="20"/>
      <c r="I18" s="20"/>
      <c r="J18" s="20"/>
      <c r="K18" s="20"/>
      <c r="X18" s="20"/>
    </row>
    <row r="19" spans="2:24" ht="18" thickBot="1" x14ac:dyDescent="0.2">
      <c r="B19" s="29" t="s">
        <v>32</v>
      </c>
      <c r="C19" s="29"/>
      <c r="D19" s="30"/>
      <c r="E19" s="30"/>
      <c r="F19" s="30"/>
      <c r="G19" s="30"/>
      <c r="H19" s="30"/>
      <c r="I19" s="30"/>
      <c r="J19" s="31"/>
      <c r="K19" s="31"/>
      <c r="M19" s="53" t="s">
        <v>38</v>
      </c>
      <c r="O19" s="20"/>
      <c r="P19" s="20"/>
      <c r="Q19" s="20"/>
      <c r="R19" s="20"/>
      <c r="S19" s="20"/>
      <c r="T19" s="20"/>
      <c r="U19" s="20"/>
      <c r="V19" s="20"/>
      <c r="W19" s="20"/>
      <c r="X19" s="129"/>
    </row>
    <row r="20" spans="2:24" ht="24" x14ac:dyDescent="0.15">
      <c r="B20" s="152" t="s">
        <v>51</v>
      </c>
      <c r="C20" s="153"/>
      <c r="D20" s="148" t="s">
        <v>52</v>
      </c>
      <c r="E20" s="32" t="s">
        <v>36</v>
      </c>
      <c r="F20" s="32" t="s">
        <v>0</v>
      </c>
      <c r="G20" s="33" t="s">
        <v>10</v>
      </c>
      <c r="H20" s="34" t="s">
        <v>11</v>
      </c>
      <c r="I20" s="35"/>
      <c r="J20" s="36"/>
      <c r="K20" s="31"/>
      <c r="M20" s="278" t="s">
        <v>12</v>
      </c>
      <c r="N20" s="278"/>
      <c r="O20" s="201" t="s">
        <v>34</v>
      </c>
      <c r="P20" s="202" t="s">
        <v>16</v>
      </c>
      <c r="Q20" s="59" t="s">
        <v>13</v>
      </c>
      <c r="R20" s="329" t="s">
        <v>14</v>
      </c>
      <c r="S20" s="330"/>
      <c r="T20" s="202" t="s">
        <v>15</v>
      </c>
      <c r="U20" s="310" t="s">
        <v>41</v>
      </c>
      <c r="V20" s="311"/>
      <c r="W20" s="129"/>
      <c r="X20" s="110"/>
    </row>
    <row r="21" spans="2:24" s="20" customFormat="1" ht="24" customHeight="1" x14ac:dyDescent="0.15">
      <c r="B21" s="151"/>
      <c r="C21" s="258"/>
      <c r="D21" s="259"/>
      <c r="E21" s="1"/>
      <c r="F21" s="1"/>
      <c r="G21" s="37">
        <f>R6</f>
        <v>0</v>
      </c>
      <c r="H21" s="38">
        <f>IF(ISERROR(新灯1消費*新灯1本数),"",新灯1消費/1000*新灯1本数*G21)</f>
        <v>0</v>
      </c>
      <c r="I21" s="39"/>
      <c r="J21" s="40"/>
      <c r="K21" s="40"/>
      <c r="L21" s="19"/>
      <c r="M21" s="331" t="str">
        <f>IF(新灯1名称="",IF(新灯1型式="","",新灯1型式),新灯1名称)</f>
        <v/>
      </c>
      <c r="N21" s="331"/>
      <c r="O21" s="144"/>
      <c r="P21" s="227"/>
      <c r="Q21" s="208" t="str">
        <f>IF(F21="","",F21)</f>
        <v/>
      </c>
      <c r="R21" s="312" t="str">
        <f>IF(ISERROR(O21*Q21),"",O21*Q21)</f>
        <v/>
      </c>
      <c r="S21" s="313"/>
      <c r="T21" s="131" t="s">
        <v>17</v>
      </c>
      <c r="U21" s="145" t="str">
        <f>IF(P21="","",ROUNDUP(P21/R6,0))</f>
        <v/>
      </c>
      <c r="V21" s="146" t="s">
        <v>40</v>
      </c>
      <c r="W21" s="111"/>
      <c r="X21" s="130"/>
    </row>
    <row r="22" spans="2:24" s="20" customFormat="1" ht="24" customHeight="1" x14ac:dyDescent="0.15">
      <c r="B22" s="151"/>
      <c r="C22" s="260"/>
      <c r="D22" s="261"/>
      <c r="E22" s="1"/>
      <c r="F22" s="1"/>
      <c r="G22" s="37">
        <f>S6</f>
        <v>0</v>
      </c>
      <c r="H22" s="38">
        <f>IF(ISERROR(新灯2消費*新灯2本数),"",新灯2消費/1000*新灯2本数*G22)</f>
        <v>0</v>
      </c>
      <c r="I22" s="39"/>
      <c r="J22" s="40"/>
      <c r="K22" s="40"/>
      <c r="L22" s="19"/>
      <c r="M22" s="331" t="str">
        <f>IF(新灯2名称="",IF(新灯2型式="","",新灯2型式),新灯2名称)</f>
        <v/>
      </c>
      <c r="N22" s="331"/>
      <c r="O22" s="102"/>
      <c r="P22" s="226"/>
      <c r="Q22" s="207" t="str">
        <f>IF(F22="","",F22)</f>
        <v/>
      </c>
      <c r="R22" s="332" t="str">
        <f>IF(ISERROR(O22*Q22),"",O22*Q22)</f>
        <v/>
      </c>
      <c r="S22" s="333"/>
      <c r="T22" s="143" t="s">
        <v>57</v>
      </c>
      <c r="U22" s="162" t="str">
        <f>IF(P22="","",ROUNDUP(P22/S6,0))</f>
        <v/>
      </c>
      <c r="V22" s="113" t="s">
        <v>40</v>
      </c>
      <c r="W22" s="130"/>
      <c r="X22" s="130"/>
    </row>
    <row r="23" spans="2:24" ht="14.25" thickBot="1" x14ac:dyDescent="0.2">
      <c r="B23" s="95"/>
      <c r="C23" s="96"/>
      <c r="D23" s="96"/>
      <c r="E23" s="96"/>
      <c r="F23" s="41" t="s">
        <v>8</v>
      </c>
      <c r="G23" s="272">
        <f>SUM(H21:H22)</f>
        <v>0</v>
      </c>
      <c r="H23" s="273"/>
      <c r="I23" s="30"/>
      <c r="J23" s="31"/>
      <c r="K23" s="31"/>
      <c r="M23" s="149" t="s">
        <v>50</v>
      </c>
      <c r="N23" s="134"/>
      <c r="O23" s="204"/>
      <c r="P23" s="204"/>
      <c r="Q23" s="147" t="s">
        <v>18</v>
      </c>
      <c r="R23" s="304">
        <f>SUM($R$21:$R$22)</f>
        <v>0</v>
      </c>
      <c r="S23" s="305"/>
      <c r="T23" s="64"/>
      <c r="U23" s="204"/>
      <c r="V23" s="203"/>
      <c r="W23" s="130"/>
      <c r="X23" s="130"/>
    </row>
    <row r="24" spans="2:24" ht="13.5" customHeight="1" thickBot="1" x14ac:dyDescent="0.2">
      <c r="B24" s="31"/>
      <c r="C24" s="31"/>
      <c r="D24" s="31"/>
      <c r="E24" s="31"/>
      <c r="F24" s="31"/>
      <c r="G24" s="31"/>
      <c r="H24" s="31"/>
      <c r="I24" s="31"/>
      <c r="J24" s="31"/>
      <c r="K24" s="31"/>
      <c r="M24" s="104" t="s">
        <v>39</v>
      </c>
      <c r="N24" s="65"/>
      <c r="O24" s="20"/>
      <c r="P24" s="20"/>
      <c r="Q24" s="20"/>
      <c r="R24" s="20"/>
      <c r="S24" s="20"/>
      <c r="T24" s="64"/>
      <c r="U24" s="297"/>
      <c r="V24" s="298"/>
      <c r="W24" s="130"/>
    </row>
    <row r="25" spans="2:24" ht="24" customHeight="1" x14ac:dyDescent="0.15">
      <c r="B25" s="42" t="s">
        <v>208</v>
      </c>
      <c r="C25" s="262">
        <f>SUM(G23)</f>
        <v>0</v>
      </c>
      <c r="D25" s="263"/>
      <c r="E25" s="43" t="s">
        <v>212</v>
      </c>
      <c r="F25" s="31"/>
      <c r="G25" s="280" t="s">
        <v>35</v>
      </c>
      <c r="H25" s="281"/>
      <c r="I25" s="282" t="s">
        <v>30</v>
      </c>
      <c r="J25" s="283"/>
      <c r="K25" s="284"/>
      <c r="L25" s="107"/>
      <c r="M25" s="274" t="s">
        <v>21</v>
      </c>
      <c r="N25" s="275"/>
      <c r="O25" s="306">
        <f>既設使用量-新設使用量</f>
        <v>0</v>
      </c>
      <c r="P25" s="307"/>
      <c r="Q25" s="49" t="s">
        <v>23</v>
      </c>
      <c r="R25" s="20"/>
      <c r="S25" s="299" t="s">
        <v>27</v>
      </c>
      <c r="T25" s="300"/>
      <c r="U25" s="301"/>
    </row>
    <row r="26" spans="2:24" ht="24" customHeight="1" thickBot="1" x14ac:dyDescent="0.2">
      <c r="B26" s="44" t="s">
        <v>209</v>
      </c>
      <c r="C26" s="264">
        <f>(新灯1消費*新灯1本数)*(夏季単価*R7+その他季単価*R8)/1000+(新灯2消費*新灯2本数)*(夏季単価*S7+その他季単価*S8)/1000</f>
        <v>0</v>
      </c>
      <c r="D26" s="265"/>
      <c r="E26" s="45" t="s">
        <v>22</v>
      </c>
      <c r="F26" s="46"/>
      <c r="G26" s="105">
        <f>新設デマンド*基本料金*12</f>
        <v>0</v>
      </c>
      <c r="H26" s="45" t="s">
        <v>9</v>
      </c>
      <c r="I26" s="289">
        <f>(新灯1消費/1000)*新灯1本数+(新灯2消費/1000)*新灯2本数</f>
        <v>0</v>
      </c>
      <c r="J26" s="290"/>
      <c r="K26" s="47" t="s">
        <v>24</v>
      </c>
      <c r="L26" s="107"/>
      <c r="M26" s="276" t="s">
        <v>60</v>
      </c>
      <c r="N26" s="277"/>
      <c r="O26" s="308">
        <f>(既設電気料金+既設基本料金)-(新設電気料金+新設基本料金)</f>
        <v>0</v>
      </c>
      <c r="P26" s="309"/>
      <c r="Q26" s="51" t="s">
        <v>22</v>
      </c>
      <c r="S26" s="302">
        <f>新設デマンド-既設デマンド</f>
        <v>0</v>
      </c>
      <c r="T26" s="303"/>
      <c r="U26" s="51" t="s">
        <v>28</v>
      </c>
    </row>
    <row r="27" spans="2:24" x14ac:dyDescent="0.15">
      <c r="B27" s="48"/>
      <c r="C27" s="48"/>
      <c r="D27" s="20"/>
      <c r="E27" s="20"/>
      <c r="F27" s="20"/>
      <c r="G27" s="132" t="s">
        <v>49</v>
      </c>
      <c r="H27" s="132"/>
      <c r="I27" s="132"/>
      <c r="J27" s="132"/>
      <c r="K27" s="132"/>
      <c r="L27" s="133"/>
      <c r="M27" s="132"/>
      <c r="N27" s="132"/>
    </row>
    <row r="28" spans="2:24" s="50" customFormat="1" ht="9.75" customHeight="1" x14ac:dyDescent="0.15"/>
    <row r="29" spans="2:24" s="97" customFormat="1" ht="16.5" customHeight="1" x14ac:dyDescent="0.15"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89"/>
      <c r="M29" s="89"/>
      <c r="N29" s="89"/>
      <c r="O29" s="89"/>
    </row>
    <row r="30" spans="2:24" s="97" customFormat="1" ht="16.5" customHeight="1" x14ac:dyDescent="0.15">
      <c r="B30" s="100"/>
      <c r="C30" s="100"/>
      <c r="D30" s="54"/>
      <c r="E30" s="56"/>
      <c r="F30" s="56"/>
      <c r="G30" s="56"/>
      <c r="H30" s="56"/>
      <c r="I30" s="56"/>
      <c r="J30" s="56"/>
      <c r="K30" s="56"/>
      <c r="L30" s="98"/>
      <c r="M30" s="98"/>
      <c r="N30" s="98"/>
      <c r="O30" s="98"/>
    </row>
    <row r="31" spans="2:24" s="97" customFormat="1" ht="16.5" customHeight="1" x14ac:dyDescent="0.15">
      <c r="B31" s="100"/>
      <c r="C31" s="100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</row>
    <row r="32" spans="2:24" s="97" customFormat="1" ht="16.5" customHeight="1" x14ac:dyDescent="0.15">
      <c r="B32" s="100"/>
      <c r="C32" s="100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</row>
    <row r="33" spans="2:20" s="97" customFormat="1" ht="16.5" customHeight="1" x14ac:dyDescent="0.15">
      <c r="B33" s="100"/>
      <c r="C33" s="100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</row>
    <row r="34" spans="2:20" s="97" customFormat="1" ht="16.5" customHeight="1" x14ac:dyDescent="0.15">
      <c r="B34" s="100"/>
      <c r="C34" s="100"/>
      <c r="D34" s="54"/>
      <c r="E34" s="99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</row>
    <row r="35" spans="2:20" s="97" customFormat="1" ht="16.5" customHeight="1" x14ac:dyDescent="0.15">
      <c r="B35" s="100"/>
      <c r="C35" s="100"/>
      <c r="D35" s="54"/>
      <c r="E35" s="99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</row>
    <row r="36" spans="2:20" s="97" customFormat="1" ht="16.5" customHeight="1" x14ac:dyDescent="0.15">
      <c r="B36" s="100"/>
      <c r="C36" s="100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</row>
    <row r="37" spans="2:20" s="97" customFormat="1" ht="16.5" customHeight="1" x14ac:dyDescent="0.15">
      <c r="B37" s="100"/>
      <c r="C37" s="100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</row>
    <row r="38" spans="2:20" s="97" customFormat="1" ht="16.5" customHeight="1" x14ac:dyDescent="0.15">
      <c r="B38" s="55"/>
      <c r="C38" s="55"/>
      <c r="D38" s="55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</row>
    <row r="39" spans="2:20" s="97" customFormat="1" ht="16.5" customHeight="1" x14ac:dyDescent="0.15">
      <c r="B39" s="54"/>
      <c r="C39" s="54"/>
      <c r="D39" s="55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</row>
    <row r="40" spans="2:20" s="97" customFormat="1" ht="16.5" customHeight="1" x14ac:dyDescent="0.15">
      <c r="B40" s="54"/>
      <c r="C40" s="54"/>
      <c r="D40" s="55"/>
      <c r="E40" s="101"/>
      <c r="F40" s="101"/>
      <c r="G40" s="101"/>
      <c r="H40" s="101"/>
      <c r="I40" s="101"/>
      <c r="J40" s="101"/>
      <c r="K40" s="101"/>
      <c r="L40" s="101"/>
      <c r="M40" s="58"/>
      <c r="N40" s="48"/>
    </row>
    <row r="41" spans="2:20" ht="16.5" customHeight="1" x14ac:dyDescent="0.15"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</row>
    <row r="42" spans="2:20" ht="16.5" customHeight="1" x14ac:dyDescent="0.15">
      <c r="N42" s="20"/>
    </row>
    <row r="43" spans="2:20" ht="16.5" customHeight="1" x14ac:dyDescent="0.15">
      <c r="N43" s="20"/>
    </row>
    <row r="44" spans="2:20" ht="16.5" customHeight="1" x14ac:dyDescent="0.15">
      <c r="N44" s="20"/>
    </row>
    <row r="45" spans="2:20" s="20" customFormat="1" ht="16.5" customHeight="1" x14ac:dyDescent="0.15"/>
    <row r="46" spans="2:20" s="3" customFormat="1" ht="16.5" customHeight="1" x14ac:dyDescent="0.15">
      <c r="B46" s="53" t="s">
        <v>25</v>
      </c>
      <c r="C46" s="53"/>
      <c r="D46" s="66"/>
      <c r="E46" s="66"/>
      <c r="F46" s="66"/>
      <c r="G46" s="66"/>
      <c r="H46" s="66"/>
      <c r="I46" s="66"/>
      <c r="J46" s="66"/>
      <c r="K46" s="66"/>
    </row>
    <row r="47" spans="2:20" ht="14.25" thickBot="1" x14ac:dyDescent="0.2">
      <c r="B47" s="20"/>
      <c r="C47" s="20"/>
      <c r="D47" s="20"/>
      <c r="E47" s="67"/>
      <c r="F47" s="67"/>
      <c r="G47" s="67"/>
      <c r="H47" s="20"/>
      <c r="I47" s="20"/>
      <c r="J47" s="20"/>
      <c r="K47" s="20"/>
    </row>
    <row r="48" spans="2:20" ht="14.25" thickBot="1" x14ac:dyDescent="0.2">
      <c r="B48" s="68"/>
      <c r="C48" s="252"/>
      <c r="D48" s="253"/>
      <c r="E48" s="108">
        <v>1</v>
      </c>
      <c r="F48" s="108">
        <v>2</v>
      </c>
      <c r="G48" s="108">
        <v>3</v>
      </c>
      <c r="H48" s="108">
        <v>4</v>
      </c>
      <c r="I48" s="108">
        <v>5</v>
      </c>
      <c r="J48" s="108">
        <v>6</v>
      </c>
      <c r="K48" s="108">
        <v>7</v>
      </c>
      <c r="L48" s="108">
        <v>8</v>
      </c>
      <c r="M48" s="108">
        <v>9</v>
      </c>
      <c r="N48" s="108">
        <v>10</v>
      </c>
      <c r="O48" s="108">
        <v>11</v>
      </c>
      <c r="P48" s="108">
        <v>12</v>
      </c>
      <c r="Q48" s="108">
        <v>13</v>
      </c>
      <c r="R48" s="108">
        <v>14</v>
      </c>
      <c r="S48" s="108">
        <v>15</v>
      </c>
      <c r="T48" s="163">
        <v>16</v>
      </c>
    </row>
    <row r="49" spans="2:20" ht="14.25" customHeight="1" thickTop="1" x14ac:dyDescent="0.15">
      <c r="B49" s="294">
        <f>B12</f>
        <v>0</v>
      </c>
      <c r="C49" s="254" t="s">
        <v>1</v>
      </c>
      <c r="D49" s="255"/>
      <c r="E49" s="69">
        <f t="shared" ref="E49:T49" si="1">既設電気料金</f>
        <v>0</v>
      </c>
      <c r="F49" s="69">
        <f t="shared" si="1"/>
        <v>0</v>
      </c>
      <c r="G49" s="69">
        <f t="shared" si="1"/>
        <v>0</v>
      </c>
      <c r="H49" s="69">
        <f t="shared" si="1"/>
        <v>0</v>
      </c>
      <c r="I49" s="69">
        <f t="shared" si="1"/>
        <v>0</v>
      </c>
      <c r="J49" s="69">
        <f t="shared" si="1"/>
        <v>0</v>
      </c>
      <c r="K49" s="69">
        <f t="shared" si="1"/>
        <v>0</v>
      </c>
      <c r="L49" s="69">
        <f t="shared" si="1"/>
        <v>0</v>
      </c>
      <c r="M49" s="69">
        <f t="shared" si="1"/>
        <v>0</v>
      </c>
      <c r="N49" s="69">
        <f t="shared" si="1"/>
        <v>0</v>
      </c>
      <c r="O49" s="69">
        <f t="shared" si="1"/>
        <v>0</v>
      </c>
      <c r="P49" s="69">
        <f t="shared" si="1"/>
        <v>0</v>
      </c>
      <c r="Q49" s="69">
        <f t="shared" si="1"/>
        <v>0</v>
      </c>
      <c r="R49" s="69">
        <f t="shared" si="1"/>
        <v>0</v>
      </c>
      <c r="S49" s="69">
        <f t="shared" si="1"/>
        <v>0</v>
      </c>
      <c r="T49" s="70">
        <f t="shared" si="1"/>
        <v>0</v>
      </c>
    </row>
    <row r="50" spans="2:20" x14ac:dyDescent="0.15">
      <c r="B50" s="295"/>
      <c r="C50" s="246" t="s">
        <v>20</v>
      </c>
      <c r="D50" s="247"/>
      <c r="E50" s="69">
        <f t="shared" ref="E50:T50" si="2">既設基本料金</f>
        <v>0</v>
      </c>
      <c r="F50" s="69">
        <f t="shared" si="2"/>
        <v>0</v>
      </c>
      <c r="G50" s="69">
        <f t="shared" si="2"/>
        <v>0</v>
      </c>
      <c r="H50" s="69">
        <f t="shared" si="2"/>
        <v>0</v>
      </c>
      <c r="I50" s="69">
        <f t="shared" si="2"/>
        <v>0</v>
      </c>
      <c r="J50" s="69">
        <f t="shared" si="2"/>
        <v>0</v>
      </c>
      <c r="K50" s="69">
        <f t="shared" si="2"/>
        <v>0</v>
      </c>
      <c r="L50" s="69">
        <f t="shared" si="2"/>
        <v>0</v>
      </c>
      <c r="M50" s="69">
        <f t="shared" si="2"/>
        <v>0</v>
      </c>
      <c r="N50" s="69">
        <f t="shared" si="2"/>
        <v>0</v>
      </c>
      <c r="O50" s="69">
        <f t="shared" si="2"/>
        <v>0</v>
      </c>
      <c r="P50" s="69">
        <f t="shared" si="2"/>
        <v>0</v>
      </c>
      <c r="Q50" s="69">
        <f t="shared" si="2"/>
        <v>0</v>
      </c>
      <c r="R50" s="69">
        <f t="shared" si="2"/>
        <v>0</v>
      </c>
      <c r="S50" s="69">
        <f t="shared" si="2"/>
        <v>0</v>
      </c>
      <c r="T50" s="166">
        <f t="shared" si="2"/>
        <v>0</v>
      </c>
    </row>
    <row r="51" spans="2:20" x14ac:dyDescent="0.15">
      <c r="B51" s="295"/>
      <c r="C51" s="238" t="s">
        <v>19</v>
      </c>
      <c r="D51" s="239"/>
      <c r="E51" s="71" t="str">
        <f>IF(ISERROR(R12),"",IF(ISERROR(R12+R13),R12,R12+R13))</f>
        <v/>
      </c>
      <c r="F51" s="71" t="e">
        <f t="shared" ref="F51:T51" si="3">IF($U$12="","",IF(MOD(F48-1,$U$12)=0,$R$12,0))+IF($U$13="",0,IF(MOD(F48-1,$U$13)=0,$R$13,0))</f>
        <v>#VALUE!</v>
      </c>
      <c r="G51" s="71" t="e">
        <f t="shared" si="3"/>
        <v>#VALUE!</v>
      </c>
      <c r="H51" s="71" t="e">
        <f t="shared" si="3"/>
        <v>#VALUE!</v>
      </c>
      <c r="I51" s="71" t="e">
        <f t="shared" si="3"/>
        <v>#VALUE!</v>
      </c>
      <c r="J51" s="71" t="e">
        <f t="shared" si="3"/>
        <v>#VALUE!</v>
      </c>
      <c r="K51" s="71" t="e">
        <f t="shared" si="3"/>
        <v>#VALUE!</v>
      </c>
      <c r="L51" s="71" t="e">
        <f t="shared" si="3"/>
        <v>#VALUE!</v>
      </c>
      <c r="M51" s="71" t="e">
        <f t="shared" si="3"/>
        <v>#VALUE!</v>
      </c>
      <c r="N51" s="71" t="e">
        <f t="shared" si="3"/>
        <v>#VALUE!</v>
      </c>
      <c r="O51" s="71" t="e">
        <f t="shared" si="3"/>
        <v>#VALUE!</v>
      </c>
      <c r="P51" s="71" t="e">
        <f t="shared" si="3"/>
        <v>#VALUE!</v>
      </c>
      <c r="Q51" s="71" t="e">
        <f t="shared" si="3"/>
        <v>#VALUE!</v>
      </c>
      <c r="R51" s="71" t="e">
        <f t="shared" si="3"/>
        <v>#VALUE!</v>
      </c>
      <c r="S51" s="71" t="e">
        <f t="shared" si="3"/>
        <v>#VALUE!</v>
      </c>
      <c r="T51" s="73" t="e">
        <f t="shared" si="3"/>
        <v>#VALUE!</v>
      </c>
    </row>
    <row r="52" spans="2:20" x14ac:dyDescent="0.15">
      <c r="B52" s="295"/>
      <c r="C52" s="238" t="s">
        <v>2</v>
      </c>
      <c r="D52" s="239"/>
      <c r="E52" s="71">
        <f>SUM(E49:E51)</f>
        <v>0</v>
      </c>
      <c r="F52" s="71" t="e">
        <f>SUM(F49:F51)</f>
        <v>#VALUE!</v>
      </c>
      <c r="G52" s="71" t="e">
        <f>SUM(G49:G51)</f>
        <v>#VALUE!</v>
      </c>
      <c r="H52" s="71" t="e">
        <f t="shared" ref="H52:K52" si="4">SUM(H49:H51)</f>
        <v>#VALUE!</v>
      </c>
      <c r="I52" s="71" t="e">
        <f>SUM(I49:I51)</f>
        <v>#VALUE!</v>
      </c>
      <c r="J52" s="71" t="e">
        <f t="shared" si="4"/>
        <v>#VALUE!</v>
      </c>
      <c r="K52" s="72" t="e">
        <f t="shared" si="4"/>
        <v>#VALUE!</v>
      </c>
      <c r="L52" s="72" t="e">
        <f t="shared" ref="L52:T52" si="5">SUM(L49:L51)</f>
        <v>#VALUE!</v>
      </c>
      <c r="M52" s="72" t="e">
        <f t="shared" si="5"/>
        <v>#VALUE!</v>
      </c>
      <c r="N52" s="72" t="e">
        <f t="shared" si="5"/>
        <v>#VALUE!</v>
      </c>
      <c r="O52" s="72" t="e">
        <f t="shared" si="5"/>
        <v>#VALUE!</v>
      </c>
      <c r="P52" s="72" t="e">
        <f t="shared" si="5"/>
        <v>#VALUE!</v>
      </c>
      <c r="Q52" s="72" t="e">
        <f t="shared" si="5"/>
        <v>#VALUE!</v>
      </c>
      <c r="R52" s="72" t="e">
        <f t="shared" si="5"/>
        <v>#VALUE!</v>
      </c>
      <c r="S52" s="72" t="e">
        <f t="shared" si="5"/>
        <v>#VALUE!</v>
      </c>
      <c r="T52" s="73" t="e">
        <f t="shared" si="5"/>
        <v>#VALUE!</v>
      </c>
    </row>
    <row r="53" spans="2:20" x14ac:dyDescent="0.15">
      <c r="B53" s="296"/>
      <c r="C53" s="248" t="s">
        <v>3</v>
      </c>
      <c r="D53" s="249"/>
      <c r="E53" s="74">
        <f>E52</f>
        <v>0</v>
      </c>
      <c r="F53" s="75" t="e">
        <f>E53+F52</f>
        <v>#VALUE!</v>
      </c>
      <c r="G53" s="75" t="e">
        <f t="shared" ref="G53:K53" si="6">F53+G52</f>
        <v>#VALUE!</v>
      </c>
      <c r="H53" s="75" t="e">
        <f>G53+H52</f>
        <v>#VALUE!</v>
      </c>
      <c r="I53" s="75" t="e">
        <f>H53+I52</f>
        <v>#VALUE!</v>
      </c>
      <c r="J53" s="75" t="e">
        <f t="shared" si="6"/>
        <v>#VALUE!</v>
      </c>
      <c r="K53" s="75" t="e">
        <f t="shared" si="6"/>
        <v>#VALUE!</v>
      </c>
      <c r="L53" s="75" t="e">
        <f t="shared" ref="L53" si="7">K53+L52</f>
        <v>#VALUE!</v>
      </c>
      <c r="M53" s="75" t="e">
        <f>L53+M52</f>
        <v>#VALUE!</v>
      </c>
      <c r="N53" s="75" t="e">
        <f t="shared" ref="N53" si="8">M53+N52</f>
        <v>#VALUE!</v>
      </c>
      <c r="O53" s="75" t="e">
        <f t="shared" ref="O53" si="9">N53+O52</f>
        <v>#VALUE!</v>
      </c>
      <c r="P53" s="75" t="e">
        <f t="shared" ref="P53" si="10">O53+P52</f>
        <v>#VALUE!</v>
      </c>
      <c r="Q53" s="75" t="e">
        <f t="shared" ref="Q53" si="11">P53+Q52</f>
        <v>#VALUE!</v>
      </c>
      <c r="R53" s="75" t="e">
        <f>Q53+R52</f>
        <v>#VALUE!</v>
      </c>
      <c r="S53" s="75" t="e">
        <f t="shared" ref="S53" si="12">R53+S52</f>
        <v>#VALUE!</v>
      </c>
      <c r="T53" s="76" t="e">
        <f t="shared" ref="T53" si="13">S53+T52</f>
        <v>#VALUE!</v>
      </c>
    </row>
    <row r="54" spans="2:20" x14ac:dyDescent="0.15">
      <c r="B54" s="266">
        <f>B21</f>
        <v>0</v>
      </c>
      <c r="C54" s="250" t="s">
        <v>1</v>
      </c>
      <c r="D54" s="251"/>
      <c r="E54" s="77">
        <f t="shared" ref="E54:T54" si="14">新設電気料金</f>
        <v>0</v>
      </c>
      <c r="F54" s="77">
        <f t="shared" si="14"/>
        <v>0</v>
      </c>
      <c r="G54" s="77">
        <f t="shared" si="14"/>
        <v>0</v>
      </c>
      <c r="H54" s="77">
        <f t="shared" si="14"/>
        <v>0</v>
      </c>
      <c r="I54" s="77">
        <f t="shared" si="14"/>
        <v>0</v>
      </c>
      <c r="J54" s="77">
        <f t="shared" si="14"/>
        <v>0</v>
      </c>
      <c r="K54" s="77">
        <f t="shared" si="14"/>
        <v>0</v>
      </c>
      <c r="L54" s="77">
        <f t="shared" si="14"/>
        <v>0</v>
      </c>
      <c r="M54" s="77">
        <f t="shared" si="14"/>
        <v>0</v>
      </c>
      <c r="N54" s="77">
        <f t="shared" si="14"/>
        <v>0</v>
      </c>
      <c r="O54" s="77">
        <f t="shared" si="14"/>
        <v>0</v>
      </c>
      <c r="P54" s="77">
        <f t="shared" si="14"/>
        <v>0</v>
      </c>
      <c r="Q54" s="77">
        <f t="shared" si="14"/>
        <v>0</v>
      </c>
      <c r="R54" s="77">
        <f t="shared" si="14"/>
        <v>0</v>
      </c>
      <c r="S54" s="77">
        <f t="shared" si="14"/>
        <v>0</v>
      </c>
      <c r="T54" s="164">
        <f t="shared" si="14"/>
        <v>0</v>
      </c>
    </row>
    <row r="55" spans="2:20" x14ac:dyDescent="0.15">
      <c r="B55" s="267"/>
      <c r="C55" s="238" t="s">
        <v>20</v>
      </c>
      <c r="D55" s="239"/>
      <c r="E55" s="78">
        <f t="shared" ref="E55:T55" si="15">新設基本料金</f>
        <v>0</v>
      </c>
      <c r="F55" s="78">
        <f t="shared" si="15"/>
        <v>0</v>
      </c>
      <c r="G55" s="78">
        <f t="shared" si="15"/>
        <v>0</v>
      </c>
      <c r="H55" s="78">
        <f t="shared" si="15"/>
        <v>0</v>
      </c>
      <c r="I55" s="78">
        <f t="shared" si="15"/>
        <v>0</v>
      </c>
      <c r="J55" s="78">
        <f t="shared" si="15"/>
        <v>0</v>
      </c>
      <c r="K55" s="78">
        <f t="shared" si="15"/>
        <v>0</v>
      </c>
      <c r="L55" s="78">
        <f t="shared" si="15"/>
        <v>0</v>
      </c>
      <c r="M55" s="78">
        <f t="shared" si="15"/>
        <v>0</v>
      </c>
      <c r="N55" s="78">
        <f t="shared" si="15"/>
        <v>0</v>
      </c>
      <c r="O55" s="78">
        <f t="shared" si="15"/>
        <v>0</v>
      </c>
      <c r="P55" s="78">
        <f t="shared" si="15"/>
        <v>0</v>
      </c>
      <c r="Q55" s="78">
        <f t="shared" si="15"/>
        <v>0</v>
      </c>
      <c r="R55" s="78">
        <f t="shared" si="15"/>
        <v>0</v>
      </c>
      <c r="S55" s="78">
        <f t="shared" si="15"/>
        <v>0</v>
      </c>
      <c r="T55" s="165">
        <f t="shared" si="15"/>
        <v>0</v>
      </c>
    </row>
    <row r="56" spans="2:20" x14ac:dyDescent="0.15">
      <c r="B56" s="268"/>
      <c r="C56" s="240" t="s">
        <v>19</v>
      </c>
      <c r="D56" s="241"/>
      <c r="E56" s="71" t="str">
        <f>IF(ISERROR(R21),"",IF(ISERROR(R21+R22),R21,R21+R22))</f>
        <v/>
      </c>
      <c r="F56" s="71" t="e">
        <f t="shared" ref="F56:T56" si="16">IF($U$21="","",IF(MOD(F48-1,$U$21)=0,$R$21,0))+IF($U$22="",0,IF(MOD(F48-1,$U$22)=0,$R$22,0))</f>
        <v>#VALUE!</v>
      </c>
      <c r="G56" s="71" t="e">
        <f t="shared" si="16"/>
        <v>#VALUE!</v>
      </c>
      <c r="H56" s="71" t="e">
        <f t="shared" si="16"/>
        <v>#VALUE!</v>
      </c>
      <c r="I56" s="71" t="e">
        <f t="shared" si="16"/>
        <v>#VALUE!</v>
      </c>
      <c r="J56" s="71" t="e">
        <f t="shared" si="16"/>
        <v>#VALUE!</v>
      </c>
      <c r="K56" s="71" t="e">
        <f t="shared" si="16"/>
        <v>#VALUE!</v>
      </c>
      <c r="L56" s="71" t="e">
        <f t="shared" si="16"/>
        <v>#VALUE!</v>
      </c>
      <c r="M56" s="71" t="e">
        <f t="shared" si="16"/>
        <v>#VALUE!</v>
      </c>
      <c r="N56" s="71" t="e">
        <f t="shared" si="16"/>
        <v>#VALUE!</v>
      </c>
      <c r="O56" s="71" t="e">
        <f t="shared" si="16"/>
        <v>#VALUE!</v>
      </c>
      <c r="P56" s="71" t="e">
        <f t="shared" si="16"/>
        <v>#VALUE!</v>
      </c>
      <c r="Q56" s="71" t="e">
        <f t="shared" si="16"/>
        <v>#VALUE!</v>
      </c>
      <c r="R56" s="71" t="e">
        <f t="shared" si="16"/>
        <v>#VALUE!</v>
      </c>
      <c r="S56" s="71" t="e">
        <f t="shared" si="16"/>
        <v>#VALUE!</v>
      </c>
      <c r="T56" s="73" t="e">
        <f t="shared" si="16"/>
        <v>#VALUE!</v>
      </c>
    </row>
    <row r="57" spans="2:20" x14ac:dyDescent="0.15">
      <c r="B57" s="267"/>
      <c r="C57" s="238" t="s">
        <v>2</v>
      </c>
      <c r="D57" s="239"/>
      <c r="E57" s="71">
        <f>SUM(E54:E56)</f>
        <v>0</v>
      </c>
      <c r="F57" s="72" t="e">
        <f>SUM(F54:F56)</f>
        <v>#VALUE!</v>
      </c>
      <c r="G57" s="72" t="e">
        <f t="shared" ref="G57:K57" si="17">SUM(G54:G56)</f>
        <v>#VALUE!</v>
      </c>
      <c r="H57" s="72" t="e">
        <f t="shared" si="17"/>
        <v>#VALUE!</v>
      </c>
      <c r="I57" s="72" t="e">
        <f t="shared" si="17"/>
        <v>#VALUE!</v>
      </c>
      <c r="J57" s="72" t="e">
        <f t="shared" si="17"/>
        <v>#VALUE!</v>
      </c>
      <c r="K57" s="72" t="e">
        <f t="shared" si="17"/>
        <v>#VALUE!</v>
      </c>
      <c r="L57" s="72" t="e">
        <f t="shared" ref="L57:T57" si="18">SUM(L54:L56)</f>
        <v>#VALUE!</v>
      </c>
      <c r="M57" s="72" t="e">
        <f t="shared" si="18"/>
        <v>#VALUE!</v>
      </c>
      <c r="N57" s="72" t="e">
        <f t="shared" si="18"/>
        <v>#VALUE!</v>
      </c>
      <c r="O57" s="72" t="e">
        <f t="shared" si="18"/>
        <v>#VALUE!</v>
      </c>
      <c r="P57" s="72" t="e">
        <f t="shared" si="18"/>
        <v>#VALUE!</v>
      </c>
      <c r="Q57" s="72" t="e">
        <f t="shared" si="18"/>
        <v>#VALUE!</v>
      </c>
      <c r="R57" s="72" t="e">
        <f t="shared" si="18"/>
        <v>#VALUE!</v>
      </c>
      <c r="S57" s="72" t="e">
        <f t="shared" si="18"/>
        <v>#VALUE!</v>
      </c>
      <c r="T57" s="73" t="e">
        <f t="shared" si="18"/>
        <v>#VALUE!</v>
      </c>
    </row>
    <row r="58" spans="2:20" x14ac:dyDescent="0.15">
      <c r="B58" s="269"/>
      <c r="C58" s="242" t="s">
        <v>4</v>
      </c>
      <c r="D58" s="243"/>
      <c r="E58" s="79">
        <f>E57</f>
        <v>0</v>
      </c>
      <c r="F58" s="80" t="e">
        <f>E58+F57</f>
        <v>#VALUE!</v>
      </c>
      <c r="G58" s="80" t="e">
        <f t="shared" ref="G58" si="19">F58+G57</f>
        <v>#VALUE!</v>
      </c>
      <c r="H58" s="80" t="e">
        <f>G58+H57</f>
        <v>#VALUE!</v>
      </c>
      <c r="I58" s="80" t="e">
        <f>H58+I57</f>
        <v>#VALUE!</v>
      </c>
      <c r="J58" s="80" t="e">
        <f t="shared" ref="J58" si="20">I58+J57</f>
        <v>#VALUE!</v>
      </c>
      <c r="K58" s="80" t="e">
        <f t="shared" ref="K58" si="21">J58+K57</f>
        <v>#VALUE!</v>
      </c>
      <c r="L58" s="80" t="e">
        <f t="shared" ref="L58" si="22">K58+L57</f>
        <v>#VALUE!</v>
      </c>
      <c r="M58" s="80" t="e">
        <f>L58+M57</f>
        <v>#VALUE!</v>
      </c>
      <c r="N58" s="80" t="e">
        <f t="shared" ref="N58" si="23">M58+N57</f>
        <v>#VALUE!</v>
      </c>
      <c r="O58" s="80" t="e">
        <f t="shared" ref="O58" si="24">N58+O57</f>
        <v>#VALUE!</v>
      </c>
      <c r="P58" s="80" t="e">
        <f t="shared" ref="P58" si="25">O58+P57</f>
        <v>#VALUE!</v>
      </c>
      <c r="Q58" s="80" t="e">
        <f t="shared" ref="Q58" si="26">P58+Q57</f>
        <v>#VALUE!</v>
      </c>
      <c r="R58" s="80" t="e">
        <f>Q58+R57</f>
        <v>#VALUE!</v>
      </c>
      <c r="S58" s="80" t="e">
        <f t="shared" ref="S58" si="27">R58+S57</f>
        <v>#VALUE!</v>
      </c>
      <c r="T58" s="81" t="e">
        <f t="shared" ref="T58" si="28">S58+T57</f>
        <v>#VALUE!</v>
      </c>
    </row>
    <row r="59" spans="2:20" x14ac:dyDescent="0.15">
      <c r="B59" s="82" t="s">
        <v>5</v>
      </c>
      <c r="C59" s="244" t="s">
        <v>6</v>
      </c>
      <c r="D59" s="245"/>
      <c r="E59" s="83">
        <f t="shared" ref="E59:K59" si="29">E53-E58</f>
        <v>0</v>
      </c>
      <c r="F59" s="84" t="e">
        <f t="shared" si="29"/>
        <v>#VALUE!</v>
      </c>
      <c r="G59" s="84" t="e">
        <f t="shared" si="29"/>
        <v>#VALUE!</v>
      </c>
      <c r="H59" s="84" t="e">
        <f t="shared" si="29"/>
        <v>#VALUE!</v>
      </c>
      <c r="I59" s="84" t="e">
        <f t="shared" si="29"/>
        <v>#VALUE!</v>
      </c>
      <c r="J59" s="84" t="e">
        <f t="shared" si="29"/>
        <v>#VALUE!</v>
      </c>
      <c r="K59" s="84" t="e">
        <f t="shared" si="29"/>
        <v>#VALUE!</v>
      </c>
      <c r="L59" s="84" t="e">
        <f t="shared" ref="L59:T59" si="30">L53-L58</f>
        <v>#VALUE!</v>
      </c>
      <c r="M59" s="84" t="e">
        <f t="shared" si="30"/>
        <v>#VALUE!</v>
      </c>
      <c r="N59" s="84" t="e">
        <f t="shared" si="30"/>
        <v>#VALUE!</v>
      </c>
      <c r="O59" s="84" t="e">
        <f t="shared" si="30"/>
        <v>#VALUE!</v>
      </c>
      <c r="P59" s="84" t="e">
        <f t="shared" si="30"/>
        <v>#VALUE!</v>
      </c>
      <c r="Q59" s="84" t="e">
        <f t="shared" si="30"/>
        <v>#VALUE!</v>
      </c>
      <c r="R59" s="84" t="e">
        <f t="shared" si="30"/>
        <v>#VALUE!</v>
      </c>
      <c r="S59" s="84" t="e">
        <f t="shared" si="30"/>
        <v>#VALUE!</v>
      </c>
      <c r="T59" s="85" t="e">
        <f t="shared" si="30"/>
        <v>#VALUE!</v>
      </c>
    </row>
    <row r="60" spans="2:20" ht="14.25" thickBot="1" x14ac:dyDescent="0.2">
      <c r="B60" s="154"/>
      <c r="C60" s="232" t="s">
        <v>7</v>
      </c>
      <c r="D60" s="233"/>
      <c r="E60" s="86">
        <f>E52-E57</f>
        <v>0</v>
      </c>
      <c r="F60" s="87" t="e">
        <f t="shared" ref="F60:K60" si="31">F52-F57</f>
        <v>#VALUE!</v>
      </c>
      <c r="G60" s="87" t="e">
        <f t="shared" si="31"/>
        <v>#VALUE!</v>
      </c>
      <c r="H60" s="87" t="e">
        <f t="shared" si="31"/>
        <v>#VALUE!</v>
      </c>
      <c r="I60" s="87" t="e">
        <f t="shared" si="31"/>
        <v>#VALUE!</v>
      </c>
      <c r="J60" s="87" t="e">
        <f t="shared" si="31"/>
        <v>#VALUE!</v>
      </c>
      <c r="K60" s="87" t="e">
        <f t="shared" si="31"/>
        <v>#VALUE!</v>
      </c>
      <c r="L60" s="87" t="e">
        <f t="shared" ref="L60:T60" si="32">L52-L57</f>
        <v>#VALUE!</v>
      </c>
      <c r="M60" s="87" t="e">
        <f t="shared" si="32"/>
        <v>#VALUE!</v>
      </c>
      <c r="N60" s="87" t="e">
        <f t="shared" si="32"/>
        <v>#VALUE!</v>
      </c>
      <c r="O60" s="87" t="e">
        <f t="shared" si="32"/>
        <v>#VALUE!</v>
      </c>
      <c r="P60" s="87" t="e">
        <f t="shared" si="32"/>
        <v>#VALUE!</v>
      </c>
      <c r="Q60" s="87" t="e">
        <f t="shared" si="32"/>
        <v>#VALUE!</v>
      </c>
      <c r="R60" s="87" t="e">
        <f t="shared" si="32"/>
        <v>#VALUE!</v>
      </c>
      <c r="S60" s="87" t="e">
        <f t="shared" si="32"/>
        <v>#VALUE!</v>
      </c>
      <c r="T60" s="88" t="e">
        <f t="shared" si="32"/>
        <v>#VALUE!</v>
      </c>
    </row>
    <row r="61" spans="2:20" x14ac:dyDescent="0.15">
      <c r="B61" s="89"/>
      <c r="C61" s="89"/>
      <c r="D61" s="90"/>
      <c r="E61" s="114"/>
      <c r="F61" s="114"/>
      <c r="G61" s="114"/>
      <c r="H61" s="114"/>
      <c r="I61" s="114"/>
      <c r="J61" s="114"/>
      <c r="K61" s="114"/>
      <c r="L61" s="114"/>
      <c r="M61" s="58"/>
    </row>
    <row r="69" spans="2:13" x14ac:dyDescent="0.15">
      <c r="B69" s="89"/>
      <c r="C69" s="89"/>
      <c r="D69" s="90"/>
      <c r="E69" s="91"/>
      <c r="F69" s="91"/>
      <c r="G69" s="91"/>
      <c r="H69" s="91"/>
      <c r="I69" s="91"/>
      <c r="J69" s="91"/>
      <c r="K69" s="91"/>
      <c r="L69" s="58"/>
      <c r="M69" s="58"/>
    </row>
    <row r="86" spans="2:3" x14ac:dyDescent="0.15">
      <c r="B86" s="92"/>
      <c r="C86" s="92"/>
    </row>
    <row r="87" spans="2:3" x14ac:dyDescent="0.15">
      <c r="B87" s="92"/>
      <c r="C87" s="92"/>
    </row>
    <row r="88" spans="2:3" x14ac:dyDescent="0.15">
      <c r="B88" s="92"/>
      <c r="C88" s="92"/>
    </row>
    <row r="89" spans="2:3" x14ac:dyDescent="0.15">
      <c r="B89" s="92"/>
      <c r="C89" s="92"/>
    </row>
    <row r="90" spans="2:3" x14ac:dyDescent="0.15">
      <c r="B90" s="92"/>
      <c r="C90" s="92"/>
    </row>
    <row r="91" spans="2:3" x14ac:dyDescent="0.15">
      <c r="B91" s="92"/>
      <c r="C91" s="92"/>
    </row>
    <row r="92" spans="2:3" x14ac:dyDescent="0.15">
      <c r="B92" s="92"/>
      <c r="C92" s="92"/>
    </row>
    <row r="93" spans="2:3" x14ac:dyDescent="0.15">
      <c r="B93" s="92"/>
      <c r="C93" s="92"/>
    </row>
    <row r="94" spans="2:3" x14ac:dyDescent="0.15">
      <c r="B94" s="92"/>
      <c r="C94" s="92"/>
    </row>
  </sheetData>
  <sheetProtection algorithmName="SHA-512" hashValue="dmb1tyS2v+a1oz805UpsLLBss5zla071kaJGMW1IHQfTJ0j0xVwrlb+eAMU7azHs03D+4Ocf+A4IGGFdwwhkmA==" saltValue="ZRXcimexW42PaYfw6LDi4Q==" spinCount="100000" sheet="1" objects="1" scenarios="1" selectLockedCells="1"/>
  <mergeCells count="67">
    <mergeCell ref="M22:N22"/>
    <mergeCell ref="R22:S22"/>
    <mergeCell ref="M20:N20"/>
    <mergeCell ref="R20:S20"/>
    <mergeCell ref="M21:N21"/>
    <mergeCell ref="U16:V16"/>
    <mergeCell ref="R13:S13"/>
    <mergeCell ref="M13:N13"/>
    <mergeCell ref="U11:V11"/>
    <mergeCell ref="R11:S11"/>
    <mergeCell ref="R12:S12"/>
    <mergeCell ref="M12:N12"/>
    <mergeCell ref="B1:D1"/>
    <mergeCell ref="B49:B53"/>
    <mergeCell ref="U24:V24"/>
    <mergeCell ref="S25:U25"/>
    <mergeCell ref="S26:T26"/>
    <mergeCell ref="R23:S23"/>
    <mergeCell ref="O25:P25"/>
    <mergeCell ref="O26:P26"/>
    <mergeCell ref="U20:V20"/>
    <mergeCell ref="R21:S21"/>
    <mergeCell ref="G16:H16"/>
    <mergeCell ref="I16:K16"/>
    <mergeCell ref="N14:P14"/>
    <mergeCell ref="R14:S14"/>
    <mergeCell ref="I17:J17"/>
    <mergeCell ref="T14:U14"/>
    <mergeCell ref="B54:B58"/>
    <mergeCell ref="B3:N3"/>
    <mergeCell ref="B2:N2"/>
    <mergeCell ref="G23:H23"/>
    <mergeCell ref="M25:N25"/>
    <mergeCell ref="M26:N26"/>
    <mergeCell ref="M11:N11"/>
    <mergeCell ref="N6:O6"/>
    <mergeCell ref="G25:H25"/>
    <mergeCell ref="I25:K25"/>
    <mergeCell ref="C11:D11"/>
    <mergeCell ref="C12:D12"/>
    <mergeCell ref="C13:D13"/>
    <mergeCell ref="C16:D16"/>
    <mergeCell ref="I26:J26"/>
    <mergeCell ref="G14:H14"/>
    <mergeCell ref="C48:D48"/>
    <mergeCell ref="C49:D49"/>
    <mergeCell ref="C17:D17"/>
    <mergeCell ref="C21:D21"/>
    <mergeCell ref="C22:D22"/>
    <mergeCell ref="C25:D25"/>
    <mergeCell ref="C26:D26"/>
    <mergeCell ref="H9:L9"/>
    <mergeCell ref="I5:K5"/>
    <mergeCell ref="C60:D60"/>
    <mergeCell ref="N5:O5"/>
    <mergeCell ref="N7:O7"/>
    <mergeCell ref="N8:O8"/>
    <mergeCell ref="C55:D55"/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</mergeCells>
  <phoneticPr fontId="5"/>
  <dataValidations count="2">
    <dataValidation type="list" allowBlank="1" showInputMessage="1" showErrorMessage="1" sqref="H5">
      <formula1>電気事業者</formula1>
    </dataValidation>
    <dataValidation type="list" allowBlank="1" showInputMessage="1" showErrorMessage="1" sqref="I5:K5">
      <formula1>INDIRECT($H$5)</formula1>
    </dataValidation>
  </dataValidations>
  <pageMargins left="0.59055118110236227" right="0.19685039370078741" top="0.19685039370078741" bottom="0.19685039370078741" header="0.31496062992125984" footer="0.31496062992125984"/>
  <pageSetup paperSize="9" scale="56" orientation="landscape" r:id="rId1"/>
  <rowBreaks count="1" manualBreakCount="1">
    <brk id="60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2:L138"/>
  <sheetViews>
    <sheetView topLeftCell="A82" zoomScale="85" zoomScaleNormal="85" workbookViewId="0">
      <selection activeCell="F112" sqref="F112"/>
    </sheetView>
  </sheetViews>
  <sheetFormatPr defaultRowHeight="13.5" x14ac:dyDescent="0.15"/>
  <cols>
    <col min="1" max="1" width="11" bestFit="1" customWidth="1"/>
    <col min="2" max="2" width="31.25" customWidth="1"/>
    <col min="3" max="3" width="9.625" customWidth="1"/>
    <col min="5" max="5" width="9.5" bestFit="1" customWidth="1"/>
    <col min="7" max="7" width="10.5" bestFit="1" customWidth="1"/>
  </cols>
  <sheetData>
    <row r="2" spans="1:8" ht="18.75" x14ac:dyDescent="0.15">
      <c r="B2" s="167" t="s">
        <v>61</v>
      </c>
      <c r="C2" s="341"/>
      <c r="D2" s="342"/>
      <c r="E2" s="218">
        <v>42522</v>
      </c>
    </row>
    <row r="3" spans="1:8" ht="13.5" customHeight="1" x14ac:dyDescent="0.15">
      <c r="B3" s="187" t="s">
        <v>120</v>
      </c>
      <c r="C3" s="186" t="s">
        <v>43</v>
      </c>
      <c r="D3" s="186" t="s">
        <v>44</v>
      </c>
      <c r="E3" s="186"/>
    </row>
    <row r="4" spans="1:8" ht="13.5" customHeight="1" x14ac:dyDescent="0.15">
      <c r="B4" s="187">
        <f>VLOOKUP(コストシミュレーション!$H$5&amp;コストシミュレーション!$I$5,$C$10:$F$102,2,FALSE)</f>
        <v>1863</v>
      </c>
      <c r="C4" s="187">
        <f>VLOOKUP(コストシミュレーション!$H$5&amp;コストシミュレーション!$I$5,$C$10:$F$102,3,FALSE)</f>
        <v>15.85</v>
      </c>
      <c r="D4" s="187">
        <f>VLOOKUP(コストシミュレーション!$H$5&amp;コストシミュレーション!$I$5,$C$10:$F$102,4,FALSE)</f>
        <v>14.92</v>
      </c>
      <c r="E4" s="186"/>
    </row>
    <row r="6" spans="1:8" x14ac:dyDescent="0.15">
      <c r="H6" t="s">
        <v>109</v>
      </c>
    </row>
    <row r="7" spans="1:8" x14ac:dyDescent="0.15">
      <c r="A7" s="343" t="s">
        <v>62</v>
      </c>
      <c r="B7" s="344" t="s">
        <v>63</v>
      </c>
      <c r="C7" s="195"/>
      <c r="D7" s="343" t="s">
        <v>64</v>
      </c>
      <c r="E7" s="338" t="s">
        <v>65</v>
      </c>
      <c r="F7" s="338"/>
      <c r="G7" s="214"/>
      <c r="H7" t="s">
        <v>110</v>
      </c>
    </row>
    <row r="8" spans="1:8" x14ac:dyDescent="0.15">
      <c r="A8" s="338"/>
      <c r="B8" s="345"/>
      <c r="C8" s="196"/>
      <c r="D8" s="338"/>
      <c r="E8" s="168" t="s">
        <v>66</v>
      </c>
      <c r="F8" s="168" t="s">
        <v>67</v>
      </c>
      <c r="G8" s="214"/>
      <c r="H8" t="s">
        <v>111</v>
      </c>
    </row>
    <row r="9" spans="1:8" x14ac:dyDescent="0.15">
      <c r="A9" s="344"/>
      <c r="B9" s="346"/>
      <c r="C9" s="197"/>
      <c r="D9" s="338"/>
      <c r="E9" s="169">
        <v>3</v>
      </c>
      <c r="F9" s="169">
        <v>9</v>
      </c>
      <c r="G9" s="215"/>
      <c r="H9" t="s">
        <v>112</v>
      </c>
    </row>
    <row r="10" spans="1:8" x14ac:dyDescent="0.15">
      <c r="A10" s="171" t="s">
        <v>110</v>
      </c>
      <c r="B10" s="191" t="s">
        <v>124</v>
      </c>
      <c r="C10" s="191" t="str">
        <f>A10&amp;B10</f>
        <v>北海道電力業務用電力</v>
      </c>
      <c r="D10" s="217">
        <v>1836</v>
      </c>
      <c r="E10" s="171">
        <v>18.12</v>
      </c>
      <c r="F10" s="171">
        <v>18.12</v>
      </c>
      <c r="G10" s="216"/>
      <c r="H10" t="s">
        <v>113</v>
      </c>
    </row>
    <row r="11" spans="1:8" x14ac:dyDescent="0.15">
      <c r="A11" s="171" t="s">
        <v>110</v>
      </c>
      <c r="B11" s="191" t="s">
        <v>68</v>
      </c>
      <c r="C11" s="191" t="str">
        <f t="shared" ref="C11:C62" si="0">A11&amp;B11</f>
        <v>北海道電力高圧電力</v>
      </c>
      <c r="D11" s="217">
        <v>2019.6</v>
      </c>
      <c r="E11" s="171">
        <v>16.37</v>
      </c>
      <c r="F11" s="171">
        <v>16.37</v>
      </c>
      <c r="G11" s="216"/>
      <c r="H11" t="s">
        <v>114</v>
      </c>
    </row>
    <row r="12" spans="1:8" x14ac:dyDescent="0.15">
      <c r="A12" s="171" t="s">
        <v>110</v>
      </c>
      <c r="B12" s="191" t="s">
        <v>123</v>
      </c>
      <c r="C12" s="191" t="str">
        <f t="shared" si="0"/>
        <v>北海道電力高圧電力I型</v>
      </c>
      <c r="D12" s="217">
        <v>1414.8</v>
      </c>
      <c r="E12" s="171">
        <v>17.89</v>
      </c>
      <c r="F12" s="171">
        <v>17.89</v>
      </c>
      <c r="G12" s="216"/>
      <c r="H12" t="s">
        <v>115</v>
      </c>
    </row>
    <row r="13" spans="1:8" x14ac:dyDescent="0.15">
      <c r="A13" s="171" t="s">
        <v>110</v>
      </c>
      <c r="B13" s="191" t="s">
        <v>125</v>
      </c>
      <c r="C13" s="191" t="str">
        <f t="shared" si="0"/>
        <v>北海道電力高圧電力Ⅱ型</v>
      </c>
      <c r="D13" s="217">
        <v>1695.6</v>
      </c>
      <c r="E13" s="171">
        <v>17.079999999999998</v>
      </c>
      <c r="F13" s="171">
        <v>17.079999999999998</v>
      </c>
      <c r="G13" s="216"/>
      <c r="H13" t="s">
        <v>116</v>
      </c>
    </row>
    <row r="14" spans="1:8" x14ac:dyDescent="0.15">
      <c r="A14" s="171" t="s">
        <v>110</v>
      </c>
      <c r="B14" s="191" t="s">
        <v>126</v>
      </c>
      <c r="C14" s="191" t="str">
        <f t="shared" si="0"/>
        <v>北海道電力高圧電力Ⅲ型</v>
      </c>
      <c r="D14" s="217">
        <v>2419.1999999999998</v>
      </c>
      <c r="E14" s="171">
        <v>15.32</v>
      </c>
      <c r="F14" s="171">
        <v>15.32</v>
      </c>
      <c r="G14" s="216"/>
      <c r="H14" t="s">
        <v>117</v>
      </c>
    </row>
    <row r="15" spans="1:8" x14ac:dyDescent="0.15">
      <c r="A15" s="171" t="s">
        <v>110</v>
      </c>
      <c r="B15" s="191" t="s">
        <v>127</v>
      </c>
      <c r="C15" s="191" t="str">
        <f t="shared" si="0"/>
        <v>北海道電力業務用電力（30,000V）</v>
      </c>
      <c r="D15" s="217">
        <v>1890</v>
      </c>
      <c r="E15" s="171">
        <v>16.3</v>
      </c>
      <c r="F15" s="171">
        <v>16.3</v>
      </c>
      <c r="G15" s="216"/>
      <c r="H15" t="s">
        <v>118</v>
      </c>
    </row>
    <row r="16" spans="1:8" x14ac:dyDescent="0.15">
      <c r="A16" s="171" t="s">
        <v>110</v>
      </c>
      <c r="B16" s="191" t="s">
        <v>128</v>
      </c>
      <c r="C16" s="191" t="str">
        <f t="shared" si="0"/>
        <v>北海道電力特別高圧電力（30,000V）</v>
      </c>
      <c r="D16" s="217">
        <v>1954.8</v>
      </c>
      <c r="E16" s="171">
        <v>15.37</v>
      </c>
      <c r="F16" s="171">
        <v>15.37</v>
      </c>
      <c r="G16" s="216"/>
      <c r="H16" t="s">
        <v>119</v>
      </c>
    </row>
    <row r="17" spans="1:9" x14ac:dyDescent="0.15">
      <c r="A17" s="171" t="s">
        <v>110</v>
      </c>
      <c r="B17" s="191" t="s">
        <v>129</v>
      </c>
      <c r="C17" s="191" t="str">
        <f t="shared" si="0"/>
        <v>北海道電力業務用電力（60,000V）</v>
      </c>
      <c r="D17" s="217">
        <v>1879.2</v>
      </c>
      <c r="E17" s="171">
        <v>16.25</v>
      </c>
      <c r="F17" s="171">
        <v>16.25</v>
      </c>
      <c r="G17" s="216"/>
    </row>
    <row r="18" spans="1:9" x14ac:dyDescent="0.15">
      <c r="A18" s="171" t="s">
        <v>110</v>
      </c>
      <c r="B18" s="191" t="s">
        <v>130</v>
      </c>
      <c r="C18" s="191" t="str">
        <f t="shared" si="0"/>
        <v>北海道電力特別高圧電力（60,000V）</v>
      </c>
      <c r="D18" s="217">
        <v>1944</v>
      </c>
      <c r="E18" s="171">
        <v>15.33</v>
      </c>
      <c r="F18" s="171">
        <v>15.33</v>
      </c>
      <c r="G18" s="216"/>
    </row>
    <row r="19" spans="1:9" x14ac:dyDescent="0.15">
      <c r="A19" s="171" t="s">
        <v>111</v>
      </c>
      <c r="B19" s="192" t="s">
        <v>71</v>
      </c>
      <c r="C19" s="191" t="str">
        <f t="shared" si="0"/>
        <v>東京電力高圧電力A（500kw未満）</v>
      </c>
      <c r="D19" s="171">
        <v>1269</v>
      </c>
      <c r="E19" s="171">
        <v>16.96</v>
      </c>
      <c r="F19" s="171">
        <v>15.85</v>
      </c>
      <c r="G19" s="216"/>
      <c r="H19" s="216"/>
      <c r="I19" s="216"/>
    </row>
    <row r="20" spans="1:9" x14ac:dyDescent="0.15">
      <c r="A20" s="171" t="s">
        <v>111</v>
      </c>
      <c r="B20" s="192" t="s">
        <v>72</v>
      </c>
      <c r="C20" s="191" t="str">
        <f t="shared" si="0"/>
        <v>東京電力高圧電力（500kw以上）</v>
      </c>
      <c r="D20" s="171">
        <v>1782</v>
      </c>
      <c r="E20" s="171">
        <v>15.78</v>
      </c>
      <c r="F20" s="171">
        <v>14.78</v>
      </c>
      <c r="G20" s="216"/>
      <c r="H20" s="216"/>
      <c r="I20" s="216"/>
    </row>
    <row r="21" spans="1:9" x14ac:dyDescent="0.15">
      <c r="A21" s="171" t="s">
        <v>111</v>
      </c>
      <c r="B21" s="192" t="s">
        <v>70</v>
      </c>
      <c r="C21" s="191" t="str">
        <f t="shared" si="0"/>
        <v>東京電力業務用電力（500W未満）</v>
      </c>
      <c r="D21" s="171">
        <v>1684.8</v>
      </c>
      <c r="E21" s="171">
        <v>17.13</v>
      </c>
      <c r="F21" s="171">
        <v>15.99</v>
      </c>
      <c r="G21" s="216"/>
      <c r="H21" s="216"/>
      <c r="I21" s="216"/>
    </row>
    <row r="22" spans="1:9" x14ac:dyDescent="0.15">
      <c r="A22" s="171" t="s">
        <v>111</v>
      </c>
      <c r="B22" s="192" t="s">
        <v>69</v>
      </c>
      <c r="C22" s="191" t="str">
        <f t="shared" si="0"/>
        <v>東京電力業務用電力（500W以上）</v>
      </c>
      <c r="D22" s="171">
        <v>1684.8</v>
      </c>
      <c r="E22" s="171">
        <v>17.13</v>
      </c>
      <c r="F22" s="171">
        <v>15.99</v>
      </c>
      <c r="G22" s="216"/>
    </row>
    <row r="23" spans="1:9" x14ac:dyDescent="0.15">
      <c r="A23" s="171" t="s">
        <v>111</v>
      </c>
      <c r="B23" s="192" t="s">
        <v>133</v>
      </c>
      <c r="C23" s="191" t="str">
        <f t="shared" si="0"/>
        <v>東京電力特別高圧電力B（20kV）</v>
      </c>
      <c r="D23" s="171">
        <v>1630.8</v>
      </c>
      <c r="E23" s="171">
        <v>14.98</v>
      </c>
      <c r="F23" s="171">
        <v>14.05</v>
      </c>
      <c r="G23" s="216"/>
    </row>
    <row r="24" spans="1:9" x14ac:dyDescent="0.15">
      <c r="A24" s="171" t="s">
        <v>111</v>
      </c>
      <c r="B24" s="192" t="s">
        <v>134</v>
      </c>
      <c r="C24" s="191" t="str">
        <f t="shared" si="0"/>
        <v>東京電力特別高圧電力B（60kV）</v>
      </c>
      <c r="D24" s="171">
        <v>1576.8</v>
      </c>
      <c r="E24" s="171">
        <v>14.74</v>
      </c>
      <c r="F24" s="171">
        <v>13.83</v>
      </c>
      <c r="G24" s="216"/>
    </row>
    <row r="25" spans="1:9" x14ac:dyDescent="0.15">
      <c r="A25" s="171" t="s">
        <v>111</v>
      </c>
      <c r="B25" s="192" t="s">
        <v>135</v>
      </c>
      <c r="C25" s="191" t="str">
        <f t="shared" si="0"/>
        <v>東京電力特別高圧電力B（140kV）</v>
      </c>
      <c r="D25" s="171">
        <v>1522.8</v>
      </c>
      <c r="E25" s="171">
        <v>14.5</v>
      </c>
      <c r="F25" s="171">
        <v>13.62</v>
      </c>
      <c r="G25" s="216"/>
    </row>
    <row r="26" spans="1:9" x14ac:dyDescent="0.15">
      <c r="A26" s="171" t="s">
        <v>111</v>
      </c>
      <c r="B26" s="192" t="s">
        <v>132</v>
      </c>
      <c r="C26" s="191" t="str">
        <f t="shared" si="0"/>
        <v>東京電力特別高圧電力A（20kV）</v>
      </c>
      <c r="D26" s="171">
        <v>1630.8</v>
      </c>
      <c r="E26" s="171">
        <v>15.53</v>
      </c>
      <c r="F26" s="171">
        <v>14.54</v>
      </c>
      <c r="G26" s="216"/>
    </row>
    <row r="27" spans="1:9" x14ac:dyDescent="0.15">
      <c r="A27" s="171" t="s">
        <v>111</v>
      </c>
      <c r="B27" s="192" t="s">
        <v>131</v>
      </c>
      <c r="C27" s="191" t="str">
        <f t="shared" si="0"/>
        <v>東京電力特別高圧電力A（60kV）</v>
      </c>
      <c r="D27" s="171">
        <v>1576.8</v>
      </c>
      <c r="E27" s="171">
        <v>15.28</v>
      </c>
      <c r="F27" s="171">
        <v>14.33</v>
      </c>
      <c r="G27" s="216"/>
    </row>
    <row r="28" spans="1:9" x14ac:dyDescent="0.15">
      <c r="A28" s="171" t="s">
        <v>112</v>
      </c>
      <c r="B28" s="192" t="s">
        <v>139</v>
      </c>
      <c r="C28" s="191" t="str">
        <f t="shared" si="0"/>
        <v>東北電力特別高圧電力B（30,000V）</v>
      </c>
      <c r="D28" s="172">
        <v>1782</v>
      </c>
      <c r="E28" s="171">
        <v>13.71</v>
      </c>
      <c r="F28" s="171">
        <v>12.79</v>
      </c>
      <c r="G28" s="216"/>
    </row>
    <row r="29" spans="1:9" x14ac:dyDescent="0.15">
      <c r="A29" s="171" t="s">
        <v>112</v>
      </c>
      <c r="B29" s="192" t="s">
        <v>140</v>
      </c>
      <c r="C29" s="191" t="str">
        <f t="shared" si="0"/>
        <v>東北電力特別高圧電力B（60,000V）</v>
      </c>
      <c r="D29" s="172">
        <v>1717.2</v>
      </c>
      <c r="E29" s="171">
        <v>13.35</v>
      </c>
      <c r="F29" s="171">
        <v>12.46</v>
      </c>
      <c r="G29" s="216"/>
    </row>
    <row r="30" spans="1:9" x14ac:dyDescent="0.15">
      <c r="A30" s="171" t="s">
        <v>112</v>
      </c>
      <c r="B30" s="192" t="s">
        <v>141</v>
      </c>
      <c r="C30" s="191" t="str">
        <f t="shared" si="0"/>
        <v>東北電力特別高圧電力B（140,000V)</v>
      </c>
      <c r="D30" s="172">
        <v>1652.4</v>
      </c>
      <c r="E30" s="171">
        <v>12.99</v>
      </c>
      <c r="F30" s="171">
        <v>12.14</v>
      </c>
      <c r="G30" s="216"/>
    </row>
    <row r="31" spans="1:9" x14ac:dyDescent="0.15">
      <c r="A31" s="171" t="s">
        <v>112</v>
      </c>
      <c r="B31" s="192" t="s">
        <v>142</v>
      </c>
      <c r="C31" s="191" t="str">
        <f t="shared" si="0"/>
        <v>東北電力特別高圧電力A（30,000V）</v>
      </c>
      <c r="D31" s="172">
        <v>1609.2</v>
      </c>
      <c r="E31" s="171">
        <v>14.6</v>
      </c>
      <c r="F31" s="171">
        <v>13.6</v>
      </c>
      <c r="G31" s="216"/>
    </row>
    <row r="32" spans="1:9" x14ac:dyDescent="0.15">
      <c r="A32" s="171" t="s">
        <v>112</v>
      </c>
      <c r="B32" s="192" t="s">
        <v>143</v>
      </c>
      <c r="C32" s="191" t="str">
        <f t="shared" si="0"/>
        <v>東北電力特別高圧電力A（60,000V）</v>
      </c>
      <c r="D32" s="172">
        <v>1587.6</v>
      </c>
      <c r="E32" s="171">
        <v>14.25</v>
      </c>
      <c r="F32" s="171">
        <v>13.27</v>
      </c>
      <c r="G32" s="216"/>
    </row>
    <row r="33" spans="1:7" x14ac:dyDescent="0.15">
      <c r="A33" s="171" t="s">
        <v>112</v>
      </c>
      <c r="B33" s="192" t="s">
        <v>136</v>
      </c>
      <c r="C33" s="191" t="str">
        <f t="shared" si="0"/>
        <v>東北電力業務用電力</v>
      </c>
      <c r="D33" s="172">
        <v>1630.8</v>
      </c>
      <c r="E33" s="171">
        <v>16.510000000000002</v>
      </c>
      <c r="F33" s="171">
        <v>15.34</v>
      </c>
      <c r="G33" s="216"/>
    </row>
    <row r="34" spans="1:7" x14ac:dyDescent="0.15">
      <c r="A34" s="171" t="s">
        <v>112</v>
      </c>
      <c r="B34" s="192" t="s">
        <v>137</v>
      </c>
      <c r="C34" s="191" t="str">
        <f t="shared" si="0"/>
        <v>東北電力高圧電力</v>
      </c>
      <c r="D34" s="172">
        <v>1944</v>
      </c>
      <c r="E34" s="171">
        <v>14.47</v>
      </c>
      <c r="F34" s="171">
        <v>13.5</v>
      </c>
      <c r="G34" s="216"/>
    </row>
    <row r="35" spans="1:7" x14ac:dyDescent="0.15">
      <c r="A35" s="171" t="s">
        <v>112</v>
      </c>
      <c r="B35" s="192" t="s">
        <v>138</v>
      </c>
      <c r="C35" s="191" t="str">
        <f t="shared" si="0"/>
        <v>東北電力高圧電力S</v>
      </c>
      <c r="D35" s="172">
        <v>1296</v>
      </c>
      <c r="E35" s="171">
        <v>16.079999999999998</v>
      </c>
      <c r="F35" s="171">
        <v>14.96</v>
      </c>
      <c r="G35" s="216"/>
    </row>
    <row r="36" spans="1:7" x14ac:dyDescent="0.15">
      <c r="A36" s="171" t="s">
        <v>113</v>
      </c>
      <c r="B36" s="192" t="s">
        <v>144</v>
      </c>
      <c r="C36" s="191" t="str">
        <f t="shared" si="0"/>
        <v>中部電力高圧電力第2種　プランL</v>
      </c>
      <c r="D36" s="171">
        <v>1257.94</v>
      </c>
      <c r="E36" s="171">
        <v>17.86</v>
      </c>
      <c r="F36" s="171">
        <v>16.68</v>
      </c>
      <c r="G36" s="216"/>
    </row>
    <row r="37" spans="1:7" x14ac:dyDescent="0.15">
      <c r="A37" s="171" t="s">
        <v>113</v>
      </c>
      <c r="B37" s="192" t="s">
        <v>145</v>
      </c>
      <c r="C37" s="191" t="str">
        <f t="shared" si="0"/>
        <v>中部電力高圧電力第2種　プランH</v>
      </c>
      <c r="D37" s="171">
        <v>1636.46</v>
      </c>
      <c r="E37" s="171">
        <v>15.96</v>
      </c>
      <c r="F37" s="171">
        <v>14.98</v>
      </c>
      <c r="G37" s="216"/>
    </row>
    <row r="38" spans="1:7" x14ac:dyDescent="0.15">
      <c r="A38" s="171" t="s">
        <v>113</v>
      </c>
      <c r="B38" s="192" t="s">
        <v>146</v>
      </c>
      <c r="C38" s="191" t="str">
        <f t="shared" si="0"/>
        <v>中部電力高圧電力第2種　プランA</v>
      </c>
      <c r="D38" s="171">
        <v>1636.46</v>
      </c>
      <c r="E38" s="171">
        <v>15.96</v>
      </c>
      <c r="F38" s="171">
        <v>14.98</v>
      </c>
      <c r="G38" s="216"/>
    </row>
    <row r="39" spans="1:7" x14ac:dyDescent="0.15">
      <c r="A39" s="171" t="s">
        <v>113</v>
      </c>
      <c r="B39" s="192" t="s">
        <v>147</v>
      </c>
      <c r="C39" s="191" t="str">
        <f t="shared" si="0"/>
        <v>中部電力高圧電力第2種　プランB</v>
      </c>
      <c r="D39" s="171">
        <v>1830.86</v>
      </c>
      <c r="E39" s="171">
        <v>15.09</v>
      </c>
      <c r="F39" s="171">
        <v>14.17</v>
      </c>
      <c r="G39" s="216"/>
    </row>
    <row r="40" spans="1:7" x14ac:dyDescent="0.15">
      <c r="A40" s="171" t="s">
        <v>113</v>
      </c>
      <c r="B40" s="192" t="s">
        <v>148</v>
      </c>
      <c r="C40" s="191" t="str">
        <f t="shared" si="0"/>
        <v>中部電力特別高圧電力第2種　20kVまたは30kV　プランA</v>
      </c>
      <c r="D40" s="171">
        <v>1605.6</v>
      </c>
      <c r="E40" s="171">
        <v>15.32</v>
      </c>
      <c r="F40" s="171">
        <v>14.38</v>
      </c>
      <c r="G40" s="216"/>
    </row>
    <row r="41" spans="1:7" x14ac:dyDescent="0.15">
      <c r="A41" s="171" t="s">
        <v>113</v>
      </c>
      <c r="B41" s="192" t="s">
        <v>149</v>
      </c>
      <c r="C41" s="191" t="str">
        <f t="shared" si="0"/>
        <v>中部電力特別高圧電力第2種　20kVまたは30kV　プランB</v>
      </c>
      <c r="D41" s="171">
        <v>1800</v>
      </c>
      <c r="E41" s="171">
        <v>14.38</v>
      </c>
      <c r="F41" s="171">
        <v>13.53</v>
      </c>
      <c r="G41" s="216"/>
    </row>
    <row r="42" spans="1:7" x14ac:dyDescent="0.15">
      <c r="A42" s="171" t="s">
        <v>113</v>
      </c>
      <c r="B42" s="192" t="s">
        <v>150</v>
      </c>
      <c r="C42" s="191" t="str">
        <f t="shared" si="0"/>
        <v>中部電力特別高圧電力第2種　70kV　プランA</v>
      </c>
      <c r="D42" s="171">
        <v>1564.46</v>
      </c>
      <c r="E42" s="171">
        <v>15.1</v>
      </c>
      <c r="F42" s="171">
        <v>14.18</v>
      </c>
      <c r="G42" s="216"/>
    </row>
    <row r="43" spans="1:7" x14ac:dyDescent="0.15">
      <c r="A43" s="171" t="s">
        <v>113</v>
      </c>
      <c r="B43" s="192" t="s">
        <v>151</v>
      </c>
      <c r="C43" s="191" t="str">
        <f t="shared" si="0"/>
        <v>中部電力特別高圧電力第2種　70kV　プランB</v>
      </c>
      <c r="D43" s="171">
        <v>1758.86</v>
      </c>
      <c r="E43" s="171">
        <v>14.16</v>
      </c>
      <c r="F43" s="171">
        <v>13.33</v>
      </c>
      <c r="G43" s="216"/>
    </row>
    <row r="44" spans="1:7" x14ac:dyDescent="0.15">
      <c r="A44" s="171" t="s">
        <v>113</v>
      </c>
      <c r="B44" s="192" t="s">
        <v>152</v>
      </c>
      <c r="C44" s="191" t="str">
        <f t="shared" si="0"/>
        <v>中部電力特別高圧電力第2種　140kV　プランA</v>
      </c>
      <c r="D44" s="171">
        <v>1523.31</v>
      </c>
      <c r="E44" s="171">
        <v>14.88</v>
      </c>
      <c r="F44" s="171">
        <v>13.98</v>
      </c>
      <c r="G44" s="216"/>
    </row>
    <row r="45" spans="1:7" x14ac:dyDescent="0.15">
      <c r="A45" s="171" t="s">
        <v>113</v>
      </c>
      <c r="B45" s="192" t="s">
        <v>153</v>
      </c>
      <c r="C45" s="191" t="str">
        <f t="shared" si="0"/>
        <v>中部電力特別高圧電力第2種　140kV　プランB</v>
      </c>
      <c r="D45" s="171">
        <v>1717.71</v>
      </c>
      <c r="E45" s="171">
        <v>13.82</v>
      </c>
      <c r="F45" s="171">
        <v>13.02</v>
      </c>
      <c r="G45" s="216"/>
    </row>
    <row r="46" spans="1:7" x14ac:dyDescent="0.15">
      <c r="A46" s="171" t="s">
        <v>113</v>
      </c>
      <c r="B46" s="192" t="s">
        <v>157</v>
      </c>
      <c r="C46" s="191" t="str">
        <f t="shared" si="0"/>
        <v>中部電力業務用プランA</v>
      </c>
      <c r="D46" s="171">
        <v>1614.86</v>
      </c>
      <c r="E46" s="171">
        <v>16.940000000000001</v>
      </c>
      <c r="F46" s="171">
        <v>15.87</v>
      </c>
      <c r="G46" s="216"/>
    </row>
    <row r="47" spans="1:7" x14ac:dyDescent="0.15">
      <c r="A47" s="171" t="s">
        <v>113</v>
      </c>
      <c r="B47" s="192" t="s">
        <v>158</v>
      </c>
      <c r="C47" s="191" t="str">
        <f t="shared" si="0"/>
        <v>中部電力業務用プランB</v>
      </c>
      <c r="D47" s="171">
        <v>1809.26</v>
      </c>
      <c r="E47" s="171">
        <v>15.84</v>
      </c>
      <c r="F47" s="171">
        <v>14.86</v>
      </c>
      <c r="G47" s="216"/>
    </row>
    <row r="48" spans="1:7" x14ac:dyDescent="0.15">
      <c r="A48" s="171" t="s">
        <v>113</v>
      </c>
      <c r="B48" s="192" t="s">
        <v>159</v>
      </c>
      <c r="C48" s="191" t="str">
        <f t="shared" si="0"/>
        <v>中部電力業務用プランC</v>
      </c>
      <c r="D48" s="171">
        <v>1895.66</v>
      </c>
      <c r="E48" s="171">
        <v>15.63</v>
      </c>
      <c r="F48" s="171">
        <v>14.68</v>
      </c>
      <c r="G48" s="216"/>
    </row>
    <row r="49" spans="1:12" x14ac:dyDescent="0.15">
      <c r="A49" s="171" t="s">
        <v>113</v>
      </c>
      <c r="B49" s="192" t="s">
        <v>154</v>
      </c>
      <c r="C49" s="191" t="str">
        <f t="shared" si="0"/>
        <v>中部電力高圧業務用電力FR　プランA</v>
      </c>
      <c r="D49" s="172">
        <v>1614.86</v>
      </c>
      <c r="E49" s="171">
        <v>16.940000000000001</v>
      </c>
      <c r="F49" s="171">
        <v>15.87</v>
      </c>
      <c r="G49" s="216"/>
    </row>
    <row r="50" spans="1:12" x14ac:dyDescent="0.15">
      <c r="A50" s="171" t="s">
        <v>113</v>
      </c>
      <c r="B50" s="192" t="s">
        <v>155</v>
      </c>
      <c r="C50" s="191" t="str">
        <f t="shared" si="0"/>
        <v>中部電力高圧業務用電力FR　プランB</v>
      </c>
      <c r="D50" s="172">
        <v>1809.26</v>
      </c>
      <c r="E50" s="171">
        <v>15.84</v>
      </c>
      <c r="F50" s="171">
        <v>14.86</v>
      </c>
      <c r="G50" s="216"/>
    </row>
    <row r="51" spans="1:12" x14ac:dyDescent="0.15">
      <c r="A51" s="171" t="s">
        <v>113</v>
      </c>
      <c r="B51" s="192" t="s">
        <v>156</v>
      </c>
      <c r="C51" s="191" t="str">
        <f t="shared" si="0"/>
        <v>中部電力高圧業務用電力FR　プランC</v>
      </c>
      <c r="D51" s="172">
        <v>1895.66</v>
      </c>
      <c r="E51" s="171">
        <v>15.63</v>
      </c>
      <c r="F51" s="171">
        <v>14.68</v>
      </c>
      <c r="G51" s="216"/>
    </row>
    <row r="52" spans="1:12" x14ac:dyDescent="0.15">
      <c r="A52" s="171" t="s">
        <v>113</v>
      </c>
      <c r="B52" s="192" t="s">
        <v>160</v>
      </c>
      <c r="C52" s="191" t="str">
        <f t="shared" si="0"/>
        <v>中部電力特別高圧業務用電力　第2種　20kVまたは30kV　プランA</v>
      </c>
      <c r="D52" s="172">
        <v>1594.29</v>
      </c>
      <c r="E52" s="171">
        <v>15.59</v>
      </c>
      <c r="F52" s="171">
        <v>14.63</v>
      </c>
      <c r="G52" s="216"/>
    </row>
    <row r="53" spans="1:12" x14ac:dyDescent="0.15">
      <c r="A53" s="171" t="s">
        <v>113</v>
      </c>
      <c r="B53" s="192" t="s">
        <v>161</v>
      </c>
      <c r="C53" s="191" t="str">
        <f t="shared" si="0"/>
        <v>中部電力特別高圧業務用電力　第2種　20kVまたは30kV　プランB</v>
      </c>
      <c r="D53" s="172">
        <v>1712.57</v>
      </c>
      <c r="E53" s="171">
        <v>14.91</v>
      </c>
      <c r="F53" s="171">
        <v>14.02</v>
      </c>
      <c r="G53" s="216"/>
    </row>
    <row r="54" spans="1:12" x14ac:dyDescent="0.15">
      <c r="A54" s="171" t="s">
        <v>113</v>
      </c>
      <c r="B54" s="192" t="s">
        <v>162</v>
      </c>
      <c r="C54" s="191" t="str">
        <f t="shared" si="0"/>
        <v>中部電力特別高圧業務用電力　第2種　20kVまたは30kV　プランC</v>
      </c>
      <c r="D54" s="172">
        <v>1863.77</v>
      </c>
      <c r="E54" s="171">
        <v>14.48</v>
      </c>
      <c r="F54" s="171">
        <v>13.63</v>
      </c>
      <c r="G54" s="216"/>
    </row>
    <row r="55" spans="1:12" x14ac:dyDescent="0.15">
      <c r="A55" s="171" t="s">
        <v>113</v>
      </c>
      <c r="B55" s="192" t="s">
        <v>163</v>
      </c>
      <c r="C55" s="191" t="str">
        <f t="shared" si="0"/>
        <v>中部電力特別高圧業務用電力　第2種　70kV　プランA</v>
      </c>
      <c r="D55" s="172">
        <v>1553.14</v>
      </c>
      <c r="E55" s="171">
        <v>15.43</v>
      </c>
      <c r="F55" s="171">
        <v>14.49</v>
      </c>
      <c r="G55" s="216"/>
    </row>
    <row r="56" spans="1:12" x14ac:dyDescent="0.15">
      <c r="A56" s="171" t="s">
        <v>113</v>
      </c>
      <c r="B56" s="192" t="s">
        <v>164</v>
      </c>
      <c r="C56" s="191" t="str">
        <f t="shared" si="0"/>
        <v>中部電力特別高圧業務用電力　第2種　70kV　プランB</v>
      </c>
      <c r="D56" s="172">
        <v>1671.43</v>
      </c>
      <c r="E56" s="171">
        <v>14.76</v>
      </c>
      <c r="F56" s="171">
        <v>13.88</v>
      </c>
      <c r="G56" s="216"/>
    </row>
    <row r="57" spans="1:12" x14ac:dyDescent="0.15">
      <c r="A57" s="171" t="s">
        <v>113</v>
      </c>
      <c r="B57" s="192" t="s">
        <v>165</v>
      </c>
      <c r="C57" s="191" t="str">
        <f t="shared" si="0"/>
        <v>中部電力特別高圧業務用電力　第2種　70kV　プランC</v>
      </c>
      <c r="D57" s="172">
        <v>1822.63</v>
      </c>
      <c r="E57" s="171">
        <v>14.33</v>
      </c>
      <c r="F57" s="171">
        <v>13.48</v>
      </c>
      <c r="G57" s="216" t="s">
        <v>168</v>
      </c>
      <c r="J57" t="s">
        <v>169</v>
      </c>
    </row>
    <row r="58" spans="1:12" x14ac:dyDescent="0.15">
      <c r="A58" s="171" t="s">
        <v>114</v>
      </c>
      <c r="B58" s="192" t="s">
        <v>124</v>
      </c>
      <c r="C58" s="191" t="str">
        <f t="shared" si="0"/>
        <v>北陸電力業務用電力</v>
      </c>
      <c r="D58" s="172">
        <f ca="1">IF(TODAY()&lt;42522,G58,J58)</f>
        <v>1555.2</v>
      </c>
      <c r="E58" s="172">
        <f t="shared" ref="E58:F58" ca="1" si="1">IF(TODAY()&lt;42522,H58,K58)</f>
        <v>11.51</v>
      </c>
      <c r="F58" s="172">
        <f t="shared" ca="1" si="1"/>
        <v>10.52</v>
      </c>
      <c r="G58" s="171">
        <v>1555.2</v>
      </c>
      <c r="H58" s="171">
        <v>11.51</v>
      </c>
      <c r="I58" s="171">
        <v>10.52</v>
      </c>
      <c r="J58" s="219">
        <v>1555.2</v>
      </c>
      <c r="K58" s="219">
        <v>11.55</v>
      </c>
      <c r="L58" s="219">
        <v>10.56</v>
      </c>
    </row>
    <row r="59" spans="1:12" x14ac:dyDescent="0.15">
      <c r="A59" s="171" t="s">
        <v>114</v>
      </c>
      <c r="B59" s="192" t="s">
        <v>166</v>
      </c>
      <c r="C59" s="191" t="str">
        <f t="shared" si="0"/>
        <v>北陸電力高圧電力A</v>
      </c>
      <c r="D59" s="172">
        <f t="shared" ref="D59:D60" ca="1" si="2">IF(TODAY()&lt;42522,G59,J59)</f>
        <v>1285.2</v>
      </c>
      <c r="E59" s="172">
        <f t="shared" ref="E59:E60" ca="1" si="3">IF(TODAY()&lt;42522,H59,K59)</f>
        <v>11.82</v>
      </c>
      <c r="F59" s="172">
        <f t="shared" ref="F59:F60" ca="1" si="4">IF(TODAY()&lt;42522,I59,L59)</f>
        <v>10.78</v>
      </c>
      <c r="G59" s="171">
        <v>1285.2</v>
      </c>
      <c r="H59" s="171">
        <v>11.82</v>
      </c>
      <c r="I59" s="171">
        <v>10.78</v>
      </c>
      <c r="J59" s="219">
        <v>1285.2</v>
      </c>
      <c r="K59" s="219">
        <v>11.86</v>
      </c>
      <c r="L59" s="219">
        <v>10.82</v>
      </c>
    </row>
    <row r="60" spans="1:12" x14ac:dyDescent="0.15">
      <c r="A60" s="171" t="s">
        <v>114</v>
      </c>
      <c r="B60" s="192" t="s">
        <v>167</v>
      </c>
      <c r="C60" s="191" t="str">
        <f t="shared" si="0"/>
        <v>北陸電力高圧電力B</v>
      </c>
      <c r="D60" s="172">
        <f t="shared" ca="1" si="2"/>
        <v>1555.2</v>
      </c>
      <c r="E60" s="172">
        <f t="shared" ca="1" si="3"/>
        <v>10.56</v>
      </c>
      <c r="F60" s="172">
        <f t="shared" ca="1" si="4"/>
        <v>9.64</v>
      </c>
      <c r="G60" s="171">
        <v>1555.2</v>
      </c>
      <c r="H60" s="171">
        <v>10.56</v>
      </c>
      <c r="I60" s="171">
        <v>9.64</v>
      </c>
      <c r="J60" s="219">
        <v>1555.2</v>
      </c>
      <c r="K60" s="219">
        <v>10.6</v>
      </c>
      <c r="L60" s="219">
        <v>9.68</v>
      </c>
    </row>
    <row r="61" spans="1:12" x14ac:dyDescent="0.15">
      <c r="A61" s="171" t="s">
        <v>114</v>
      </c>
      <c r="B61" s="192" t="s">
        <v>170</v>
      </c>
      <c r="C61" s="191" t="str">
        <f t="shared" si="0"/>
        <v>北陸電力業務用特別高圧電力</v>
      </c>
      <c r="D61" s="172">
        <f t="shared" ref="D61:D62" ca="1" si="5">IF(TODAY()&lt;42522,G61,J61)</f>
        <v>1539</v>
      </c>
      <c r="E61" s="172">
        <f t="shared" ref="E61:E62" ca="1" si="6">IF(TODAY()&lt;42522,H61,K61)</f>
        <v>10.71</v>
      </c>
      <c r="F61" s="172">
        <f t="shared" ref="F61:F62" ca="1" si="7">IF(TODAY()&lt;42522,I61,L61)</f>
        <v>9.77</v>
      </c>
      <c r="G61" s="171">
        <v>1539</v>
      </c>
      <c r="H61" s="171">
        <v>10.71</v>
      </c>
      <c r="I61" s="171">
        <v>9.77</v>
      </c>
      <c r="J61" s="171">
        <v>1539</v>
      </c>
      <c r="K61" s="171">
        <v>10.75</v>
      </c>
      <c r="L61" s="171">
        <v>9.81</v>
      </c>
    </row>
    <row r="62" spans="1:12" x14ac:dyDescent="0.15">
      <c r="A62" s="171" t="s">
        <v>114</v>
      </c>
      <c r="B62" s="192" t="s">
        <v>171</v>
      </c>
      <c r="C62" s="191" t="str">
        <f t="shared" si="0"/>
        <v>北陸電力特別高圧電力</v>
      </c>
      <c r="D62" s="172">
        <f t="shared" ca="1" si="5"/>
        <v>1512</v>
      </c>
      <c r="E62" s="172">
        <f t="shared" ca="1" si="6"/>
        <v>9.7799999999999994</v>
      </c>
      <c r="F62" s="172">
        <f t="shared" ca="1" si="7"/>
        <v>8.93</v>
      </c>
      <c r="G62" s="171">
        <v>1512</v>
      </c>
      <c r="H62" s="171">
        <v>9.7799999999999994</v>
      </c>
      <c r="I62" s="171">
        <v>8.93</v>
      </c>
      <c r="J62" s="171">
        <v>1512</v>
      </c>
      <c r="K62" s="171">
        <v>9.82</v>
      </c>
      <c r="L62" s="171">
        <v>8.9700000000000006</v>
      </c>
    </row>
    <row r="63" spans="1:12" x14ac:dyDescent="0.15">
      <c r="A63" s="171" t="s">
        <v>115</v>
      </c>
      <c r="B63" s="193" t="s">
        <v>172</v>
      </c>
      <c r="C63" s="191" t="str">
        <f t="shared" ref="C63:C102" si="8">A63&amp;B63</f>
        <v>関西電力高圧電力AS</v>
      </c>
      <c r="D63" s="171">
        <v>1733.4</v>
      </c>
      <c r="E63" s="171">
        <v>17.22</v>
      </c>
      <c r="F63" s="171">
        <v>16.170000000000002</v>
      </c>
      <c r="G63" s="216"/>
    </row>
    <row r="64" spans="1:12" x14ac:dyDescent="0.15">
      <c r="A64" s="171" t="s">
        <v>115</v>
      </c>
      <c r="B64" s="193" t="s">
        <v>173</v>
      </c>
      <c r="C64" s="191" t="str">
        <f t="shared" si="8"/>
        <v>関西電力高圧電力BS</v>
      </c>
      <c r="D64" s="171">
        <v>1360.8</v>
      </c>
      <c r="E64" s="171">
        <v>17.75</v>
      </c>
      <c r="F64" s="171">
        <v>16.66</v>
      </c>
      <c r="G64" s="216"/>
    </row>
    <row r="65" spans="1:12" x14ac:dyDescent="0.15">
      <c r="A65" s="171" t="s">
        <v>115</v>
      </c>
      <c r="B65" s="193" t="s">
        <v>174</v>
      </c>
      <c r="C65" s="191" t="str">
        <f t="shared" si="8"/>
        <v>関西電力高圧電力AL</v>
      </c>
      <c r="D65" s="171">
        <v>1733.4</v>
      </c>
      <c r="E65" s="171">
        <v>17.22</v>
      </c>
      <c r="F65" s="171">
        <v>16.170000000000002</v>
      </c>
      <c r="G65" s="216"/>
    </row>
    <row r="66" spans="1:12" x14ac:dyDescent="0.15">
      <c r="A66" s="171" t="s">
        <v>115</v>
      </c>
      <c r="B66" s="193" t="s">
        <v>175</v>
      </c>
      <c r="C66" s="191" t="str">
        <f t="shared" si="8"/>
        <v>関西電力高圧電力BL</v>
      </c>
      <c r="D66" s="171">
        <v>1863</v>
      </c>
      <c r="E66" s="171">
        <v>15.85</v>
      </c>
      <c r="F66" s="171">
        <v>14.92</v>
      </c>
      <c r="G66" s="216"/>
    </row>
    <row r="67" spans="1:12" x14ac:dyDescent="0.15">
      <c r="A67" s="171" t="s">
        <v>115</v>
      </c>
      <c r="B67" s="193" t="s">
        <v>176</v>
      </c>
      <c r="C67" s="191" t="str">
        <f t="shared" si="8"/>
        <v>関西電力特別高圧電力A（20,000Vまたは30,000V供給）</v>
      </c>
      <c r="D67" s="171">
        <v>1690.2</v>
      </c>
      <c r="E67" s="171">
        <v>15.96</v>
      </c>
      <c r="F67" s="171">
        <v>15.01</v>
      </c>
      <c r="G67" s="216"/>
    </row>
    <row r="68" spans="1:12" x14ac:dyDescent="0.15">
      <c r="A68" s="171" t="s">
        <v>115</v>
      </c>
      <c r="B68" s="193" t="s">
        <v>177</v>
      </c>
      <c r="C68" s="191" t="str">
        <f t="shared" si="8"/>
        <v>関西電力特別高圧電力A（70,000V供給）</v>
      </c>
      <c r="D68" s="171">
        <v>1647</v>
      </c>
      <c r="E68" s="171">
        <v>15.71</v>
      </c>
      <c r="F68" s="171">
        <v>14.79</v>
      </c>
      <c r="G68" s="216"/>
    </row>
    <row r="69" spans="1:12" x14ac:dyDescent="0.15">
      <c r="A69" s="171" t="s">
        <v>115</v>
      </c>
      <c r="B69" s="193" t="s">
        <v>178</v>
      </c>
      <c r="C69" s="191" t="str">
        <f t="shared" si="8"/>
        <v>関西電力特別高圧電力B（20,000Vまたは30,000V供給）</v>
      </c>
      <c r="D69" s="171">
        <v>1819.8</v>
      </c>
      <c r="E69" s="171">
        <v>15.09</v>
      </c>
      <c r="F69" s="171">
        <v>14.23</v>
      </c>
      <c r="G69" s="216"/>
    </row>
    <row r="70" spans="1:12" x14ac:dyDescent="0.15">
      <c r="A70" s="171" t="s">
        <v>115</v>
      </c>
      <c r="B70" s="193" t="s">
        <v>179</v>
      </c>
      <c r="C70" s="191" t="str">
        <f t="shared" si="8"/>
        <v>関西電力特別高圧電力B（70,000V供給）</v>
      </c>
      <c r="D70" s="171">
        <v>1776.6</v>
      </c>
      <c r="E70" s="171">
        <v>14.77</v>
      </c>
      <c r="F70" s="171">
        <v>13.93</v>
      </c>
      <c r="G70" s="220" t="s">
        <v>168</v>
      </c>
      <c r="J70" t="s">
        <v>169</v>
      </c>
    </row>
    <row r="71" spans="1:12" x14ac:dyDescent="0.15">
      <c r="A71" s="171" t="s">
        <v>116</v>
      </c>
      <c r="B71" s="193" t="s">
        <v>181</v>
      </c>
      <c r="C71" s="191" t="str">
        <f t="shared" si="8"/>
        <v>中国電力高圧電力B</v>
      </c>
      <c r="D71" s="171">
        <f ca="1">IF(TODAY()&lt;42522,G71,J71)</f>
        <v>1701</v>
      </c>
      <c r="E71" s="171">
        <f t="shared" ref="E71:F71" ca="1" si="9">IF(TODAY()&lt;42522,H71,K71)</f>
        <v>12.45</v>
      </c>
      <c r="F71" s="171">
        <f t="shared" ca="1" si="9"/>
        <v>11.38</v>
      </c>
      <c r="G71" s="171">
        <v>1701</v>
      </c>
      <c r="H71" s="171">
        <v>12.45</v>
      </c>
      <c r="I71" s="171">
        <v>11.38</v>
      </c>
      <c r="J71" s="171">
        <v>1701</v>
      </c>
      <c r="K71" s="171">
        <v>12.51</v>
      </c>
      <c r="L71" s="171">
        <v>11.44</v>
      </c>
    </row>
    <row r="72" spans="1:12" x14ac:dyDescent="0.15">
      <c r="A72" s="171" t="s">
        <v>116</v>
      </c>
      <c r="B72" s="193" t="s">
        <v>180</v>
      </c>
      <c r="C72" s="191" t="str">
        <f t="shared" ref="C72:C73" si="10">A72&amp;B72</f>
        <v>中国電力高圧電力A</v>
      </c>
      <c r="D72" s="171">
        <f t="shared" ref="D72:D78" ca="1" si="11">IF(TODAY()&lt;42522,G72,J72)</f>
        <v>1220.4000000000001</v>
      </c>
      <c r="E72" s="171">
        <f t="shared" ref="E72:E78" ca="1" si="12">IF(TODAY()&lt;42522,H72,K72)</f>
        <v>14.56</v>
      </c>
      <c r="F72" s="171">
        <f t="shared" ref="F72:F78" ca="1" si="13">IF(TODAY()&lt;42522,I72,L72)</f>
        <v>13.31</v>
      </c>
      <c r="G72" s="171">
        <v>1220.4000000000001</v>
      </c>
      <c r="H72" s="171">
        <v>14.56</v>
      </c>
      <c r="I72" s="171">
        <v>13.31</v>
      </c>
      <c r="J72" s="171">
        <v>1220.4000000000001</v>
      </c>
      <c r="K72" s="171">
        <v>14.62</v>
      </c>
      <c r="L72" s="171">
        <v>13.37</v>
      </c>
    </row>
    <row r="73" spans="1:12" x14ac:dyDescent="0.15">
      <c r="A73" s="171" t="s">
        <v>116</v>
      </c>
      <c r="B73" s="193" t="s">
        <v>185</v>
      </c>
      <c r="C73" s="191" t="str">
        <f t="shared" si="10"/>
        <v>中国電力特別高圧B（20,000V）</v>
      </c>
      <c r="D73" s="171">
        <f t="shared" ca="1" si="11"/>
        <v>1679.4</v>
      </c>
      <c r="E73" s="171">
        <f t="shared" ca="1" si="12"/>
        <v>10.73</v>
      </c>
      <c r="F73" s="171">
        <f t="shared" ca="1" si="13"/>
        <v>9.81</v>
      </c>
      <c r="G73" s="219">
        <v>1679.4</v>
      </c>
      <c r="H73" s="171">
        <v>10.73</v>
      </c>
      <c r="I73" s="171">
        <v>9.81</v>
      </c>
      <c r="J73" s="171">
        <v>1679.4</v>
      </c>
      <c r="K73" s="171">
        <v>10.79</v>
      </c>
      <c r="L73" s="171">
        <v>9.8699999999999992</v>
      </c>
    </row>
    <row r="74" spans="1:12" x14ac:dyDescent="0.15">
      <c r="A74" s="171" t="s">
        <v>116</v>
      </c>
      <c r="B74" s="193" t="s">
        <v>186</v>
      </c>
      <c r="C74" s="191" t="str">
        <f t="shared" si="8"/>
        <v>中国電力特別高圧B（60,000V）</v>
      </c>
      <c r="D74" s="171">
        <f t="shared" ca="1" si="11"/>
        <v>1663.2</v>
      </c>
      <c r="E74" s="171">
        <f t="shared" ca="1" si="12"/>
        <v>10.61</v>
      </c>
      <c r="F74" s="171">
        <f t="shared" ca="1" si="13"/>
        <v>9.6999999999999993</v>
      </c>
      <c r="G74" s="219">
        <v>1663.2</v>
      </c>
      <c r="H74" s="171">
        <v>10.61</v>
      </c>
      <c r="I74" s="171">
        <v>9.6999999999999993</v>
      </c>
      <c r="J74" s="171">
        <v>1663.2</v>
      </c>
      <c r="K74" s="171">
        <v>10.67</v>
      </c>
      <c r="L74" s="171">
        <v>9.76</v>
      </c>
    </row>
    <row r="75" spans="1:12" x14ac:dyDescent="0.15">
      <c r="A75" s="171" t="s">
        <v>116</v>
      </c>
      <c r="B75" s="193" t="s">
        <v>187</v>
      </c>
      <c r="C75" s="191" t="str">
        <f t="shared" si="8"/>
        <v>中国電力特別高圧B（100,000V）</v>
      </c>
      <c r="D75" s="171">
        <f t="shared" ca="1" si="11"/>
        <v>1630.8</v>
      </c>
      <c r="E75" s="171">
        <f t="shared" ca="1" si="12"/>
        <v>10.44</v>
      </c>
      <c r="F75" s="171">
        <f t="shared" ca="1" si="13"/>
        <v>9.5399999999999991</v>
      </c>
      <c r="G75" s="219">
        <v>1630.8</v>
      </c>
      <c r="H75" s="171">
        <v>10.44</v>
      </c>
      <c r="I75" s="171">
        <v>9.5399999999999991</v>
      </c>
      <c r="J75" s="171">
        <v>1630.8</v>
      </c>
      <c r="K75" s="171">
        <v>10.5</v>
      </c>
      <c r="L75" s="171">
        <v>9.6</v>
      </c>
    </row>
    <row r="76" spans="1:12" x14ac:dyDescent="0.15">
      <c r="A76" s="171" t="s">
        <v>116</v>
      </c>
      <c r="B76" s="193" t="s">
        <v>183</v>
      </c>
      <c r="C76" s="191" t="str">
        <f t="shared" si="8"/>
        <v>中国電力特別高圧A（20,000V）</v>
      </c>
      <c r="D76" s="171">
        <f t="shared" ca="1" si="11"/>
        <v>1679.4</v>
      </c>
      <c r="E76" s="171">
        <f t="shared" ca="1" si="12"/>
        <v>11.43</v>
      </c>
      <c r="F76" s="171">
        <f t="shared" ca="1" si="13"/>
        <v>10.45</v>
      </c>
      <c r="G76" s="171">
        <v>1679.4</v>
      </c>
      <c r="H76" s="171">
        <v>11.43</v>
      </c>
      <c r="I76" s="171">
        <v>10.45</v>
      </c>
      <c r="J76" s="171">
        <v>1679.4</v>
      </c>
      <c r="K76" s="171">
        <v>11.49</v>
      </c>
      <c r="L76" s="171">
        <v>10.51</v>
      </c>
    </row>
    <row r="77" spans="1:12" x14ac:dyDescent="0.15">
      <c r="A77" s="171" t="s">
        <v>116</v>
      </c>
      <c r="B77" s="193" t="s">
        <v>184</v>
      </c>
      <c r="C77" s="191" t="str">
        <f t="shared" si="8"/>
        <v>中国電力特別高圧A（60,000V）</v>
      </c>
      <c r="D77" s="171">
        <f t="shared" ca="1" si="11"/>
        <v>1663.2</v>
      </c>
      <c r="E77" s="171">
        <f t="shared" ca="1" si="12"/>
        <v>11.32</v>
      </c>
      <c r="F77" s="171">
        <f t="shared" ca="1" si="13"/>
        <v>10.35</v>
      </c>
      <c r="G77" s="171">
        <v>1663.2</v>
      </c>
      <c r="H77" s="171">
        <v>11.32</v>
      </c>
      <c r="I77" s="171">
        <v>10.35</v>
      </c>
      <c r="J77" s="171">
        <v>1663.2</v>
      </c>
      <c r="K77" s="171">
        <v>11.38</v>
      </c>
      <c r="L77" s="171">
        <v>10.41</v>
      </c>
    </row>
    <row r="78" spans="1:12" x14ac:dyDescent="0.15">
      <c r="A78" s="171" t="s">
        <v>116</v>
      </c>
      <c r="B78" s="193" t="s">
        <v>182</v>
      </c>
      <c r="C78" s="191" t="str">
        <f t="shared" si="8"/>
        <v>中国電力業務用電力</v>
      </c>
      <c r="D78" s="171">
        <f t="shared" ca="1" si="11"/>
        <v>1701</v>
      </c>
      <c r="E78" s="171">
        <f t="shared" ca="1" si="12"/>
        <v>14.01</v>
      </c>
      <c r="F78" s="171">
        <f t="shared" ca="1" si="13"/>
        <v>12.8</v>
      </c>
      <c r="G78" s="219">
        <v>1701</v>
      </c>
      <c r="H78" s="219">
        <v>14.01</v>
      </c>
      <c r="I78" s="219">
        <v>12.8</v>
      </c>
      <c r="J78" s="171">
        <v>1701</v>
      </c>
      <c r="K78" s="171">
        <v>14.07</v>
      </c>
      <c r="L78" s="171">
        <v>12.86</v>
      </c>
    </row>
    <row r="79" spans="1:12" x14ac:dyDescent="0.15">
      <c r="A79" s="171" t="s">
        <v>117</v>
      </c>
      <c r="B79" s="193" t="s">
        <v>180</v>
      </c>
      <c r="C79" s="191" t="str">
        <f t="shared" si="8"/>
        <v>四国電力高圧電力A</v>
      </c>
      <c r="D79" s="171">
        <f t="shared" ref="D79:D86" ca="1" si="14">IF(TODAY()&lt;42522,G79,J79)</f>
        <v>1270.29</v>
      </c>
      <c r="E79" s="171">
        <f t="shared" ref="E79:E86" ca="1" si="15">IF(TODAY()&lt;42522,H79,K79)</f>
        <v>16.14</v>
      </c>
      <c r="F79" s="171">
        <f t="shared" ref="F79:F86" ca="1" si="16">IF(TODAY()&lt;42522,I79,L79)</f>
        <v>14.86</v>
      </c>
      <c r="G79" s="171">
        <v>1270.29</v>
      </c>
      <c r="H79" s="171">
        <v>16.14</v>
      </c>
      <c r="I79" s="171">
        <v>14.86</v>
      </c>
      <c r="J79" s="171">
        <v>1270.29</v>
      </c>
      <c r="K79" s="171">
        <v>16.14</v>
      </c>
      <c r="L79" s="171">
        <v>14.86</v>
      </c>
    </row>
    <row r="80" spans="1:12" x14ac:dyDescent="0.15">
      <c r="A80" s="171" t="s">
        <v>117</v>
      </c>
      <c r="B80" s="193" t="s">
        <v>189</v>
      </c>
      <c r="C80" s="191" t="str">
        <f t="shared" si="8"/>
        <v>四国電力高圧電力B</v>
      </c>
      <c r="D80" s="171">
        <f t="shared" ca="1" si="14"/>
        <v>1783.54</v>
      </c>
      <c r="E80" s="171">
        <f t="shared" ca="1" si="15"/>
        <v>13.24</v>
      </c>
      <c r="F80" s="171">
        <f t="shared" ca="1" si="16"/>
        <v>12.21</v>
      </c>
      <c r="G80" s="171">
        <v>1783.54</v>
      </c>
      <c r="H80" s="171">
        <v>13.24</v>
      </c>
      <c r="I80" s="171">
        <v>12.21</v>
      </c>
      <c r="J80" s="171">
        <v>1783.54</v>
      </c>
      <c r="K80" s="171">
        <v>13.24</v>
      </c>
      <c r="L80" s="171">
        <v>12.21</v>
      </c>
    </row>
    <row r="81" spans="1:12" x14ac:dyDescent="0.15">
      <c r="A81" s="171" t="s">
        <v>117</v>
      </c>
      <c r="B81" s="193" t="s">
        <v>193</v>
      </c>
      <c r="C81" s="191" t="str">
        <f t="shared" si="8"/>
        <v>四国電力特別高圧電力B（20,000V）</v>
      </c>
      <c r="D81" s="171">
        <f t="shared" ca="1" si="14"/>
        <v>1729.03</v>
      </c>
      <c r="E81" s="171">
        <f t="shared" ca="1" si="15"/>
        <v>12.23</v>
      </c>
      <c r="F81" s="171">
        <f t="shared" ca="1" si="16"/>
        <v>11.31</v>
      </c>
      <c r="G81" s="171">
        <v>1729.03</v>
      </c>
      <c r="H81" s="171">
        <v>12.23</v>
      </c>
      <c r="I81" s="171">
        <v>11.31</v>
      </c>
      <c r="J81" s="171">
        <v>1729.03</v>
      </c>
      <c r="K81" s="171">
        <v>12.23</v>
      </c>
      <c r="L81" s="171">
        <v>11.31</v>
      </c>
    </row>
    <row r="82" spans="1:12" x14ac:dyDescent="0.15">
      <c r="A82" s="171" t="s">
        <v>117</v>
      </c>
      <c r="B82" s="193" t="s">
        <v>194</v>
      </c>
      <c r="C82" s="191" t="str">
        <f t="shared" si="8"/>
        <v>四国電力特別高圧電力B（60,000V）</v>
      </c>
      <c r="D82" s="171">
        <f t="shared" ca="1" si="14"/>
        <v>1697.14</v>
      </c>
      <c r="E82" s="171">
        <f t="shared" ca="1" si="15"/>
        <v>12.03</v>
      </c>
      <c r="F82" s="171">
        <f t="shared" ca="1" si="16"/>
        <v>11.12</v>
      </c>
      <c r="G82" s="171">
        <v>1697.14</v>
      </c>
      <c r="H82" s="171">
        <v>12.03</v>
      </c>
      <c r="I82" s="171">
        <v>11.12</v>
      </c>
      <c r="J82" s="171">
        <v>1697.17</v>
      </c>
      <c r="K82" s="171">
        <v>12.03</v>
      </c>
      <c r="L82" s="171">
        <v>11.12</v>
      </c>
    </row>
    <row r="83" spans="1:12" x14ac:dyDescent="0.15">
      <c r="A83" s="171" t="s">
        <v>117</v>
      </c>
      <c r="B83" s="193" t="s">
        <v>190</v>
      </c>
      <c r="C83" s="191" t="str">
        <f t="shared" si="8"/>
        <v>四国電力業務用電力（高圧・500kW未満）</v>
      </c>
      <c r="D83" s="171">
        <f t="shared" ca="1" si="14"/>
        <v>1518.17</v>
      </c>
      <c r="E83" s="171">
        <f t="shared" ca="1" si="15"/>
        <v>15.06</v>
      </c>
      <c r="F83" s="171">
        <f t="shared" ca="1" si="16"/>
        <v>13.89</v>
      </c>
      <c r="G83" s="171">
        <v>1518.17</v>
      </c>
      <c r="H83" s="171">
        <v>15.06</v>
      </c>
      <c r="I83" s="171">
        <v>13.89</v>
      </c>
      <c r="J83" s="171">
        <v>1518.17</v>
      </c>
      <c r="K83" s="171">
        <v>15.06</v>
      </c>
      <c r="L83" s="171">
        <v>13.89</v>
      </c>
    </row>
    <row r="84" spans="1:12" x14ac:dyDescent="0.15">
      <c r="A84" s="171" t="s">
        <v>117</v>
      </c>
      <c r="B84" s="193" t="s">
        <v>191</v>
      </c>
      <c r="C84" s="191" t="str">
        <f t="shared" si="8"/>
        <v>四国電力業務用電力（高圧・500kW以上）</v>
      </c>
      <c r="D84" s="171">
        <f t="shared" ca="1" si="14"/>
        <v>1518.17</v>
      </c>
      <c r="E84" s="171">
        <f t="shared" ca="1" si="15"/>
        <v>15.06</v>
      </c>
      <c r="F84" s="171">
        <f t="shared" ca="1" si="16"/>
        <v>13.89</v>
      </c>
      <c r="G84" s="171">
        <v>1518.17</v>
      </c>
      <c r="H84" s="171">
        <v>15.06</v>
      </c>
      <c r="I84" s="171">
        <v>13.89</v>
      </c>
      <c r="J84" s="171">
        <v>1518.17</v>
      </c>
      <c r="K84" s="171">
        <v>15.06</v>
      </c>
      <c r="L84" s="171">
        <v>13.89</v>
      </c>
    </row>
    <row r="85" spans="1:12" x14ac:dyDescent="0.15">
      <c r="A85" s="171" t="s">
        <v>117</v>
      </c>
      <c r="B85" s="193" t="s">
        <v>192</v>
      </c>
      <c r="C85" s="191" t="str">
        <f t="shared" si="8"/>
        <v>四国電力特別高圧電力A（20,000V）</v>
      </c>
      <c r="D85" s="171">
        <f t="shared" ca="1" si="14"/>
        <v>1685.83</v>
      </c>
      <c r="E85" s="171">
        <f t="shared" ca="1" si="15"/>
        <v>12.88</v>
      </c>
      <c r="F85" s="171">
        <f t="shared" ca="1" si="16"/>
        <v>11.9</v>
      </c>
      <c r="G85" s="171">
        <v>1685.83</v>
      </c>
      <c r="H85" s="171">
        <v>12.88</v>
      </c>
      <c r="I85" s="171">
        <v>11.9</v>
      </c>
      <c r="J85" s="171">
        <v>1685.83</v>
      </c>
      <c r="K85" s="171">
        <v>12.88</v>
      </c>
      <c r="L85" s="171">
        <v>11.9</v>
      </c>
    </row>
    <row r="86" spans="1:12" x14ac:dyDescent="0.15">
      <c r="A86" s="171" t="s">
        <v>117</v>
      </c>
      <c r="B86" s="193" t="s">
        <v>143</v>
      </c>
      <c r="C86" s="191" t="str">
        <f t="shared" si="8"/>
        <v>四国電力特別高圧電力A（60,000V）</v>
      </c>
      <c r="D86" s="171">
        <f t="shared" ca="1" si="14"/>
        <v>1653.94</v>
      </c>
      <c r="E86" s="171">
        <f t="shared" ca="1" si="15"/>
        <v>12.68</v>
      </c>
      <c r="F86" s="171">
        <f t="shared" ca="1" si="16"/>
        <v>11.72</v>
      </c>
      <c r="G86" s="171">
        <v>1653.94</v>
      </c>
      <c r="H86" s="171">
        <v>12.68</v>
      </c>
      <c r="I86" s="171">
        <v>11.72</v>
      </c>
      <c r="J86" s="171">
        <v>1653.94</v>
      </c>
      <c r="K86" s="171">
        <v>12.68</v>
      </c>
      <c r="L86" s="171">
        <v>11.72</v>
      </c>
    </row>
    <row r="87" spans="1:12" x14ac:dyDescent="0.15">
      <c r="A87" s="171" t="s">
        <v>118</v>
      </c>
      <c r="B87" s="194" t="s">
        <v>195</v>
      </c>
      <c r="C87" s="191" t="str">
        <f t="shared" si="8"/>
        <v>九州電力業務用電力A　6,000V</v>
      </c>
      <c r="D87" s="173">
        <v>2008.8</v>
      </c>
      <c r="E87" s="173">
        <v>12.72</v>
      </c>
      <c r="F87" s="173">
        <v>11.81</v>
      </c>
      <c r="G87" s="216"/>
    </row>
    <row r="88" spans="1:12" x14ac:dyDescent="0.15">
      <c r="A88" s="171" t="s">
        <v>118</v>
      </c>
      <c r="B88" s="194" t="s">
        <v>196</v>
      </c>
      <c r="C88" s="191" t="str">
        <f t="shared" si="8"/>
        <v>九州電力業務用電力A　20,000V</v>
      </c>
      <c r="D88" s="173">
        <v>1900.8</v>
      </c>
      <c r="E88" s="173">
        <v>11.64</v>
      </c>
      <c r="F88" s="173">
        <v>10.83</v>
      </c>
      <c r="G88" s="216"/>
    </row>
    <row r="89" spans="1:12" x14ac:dyDescent="0.15">
      <c r="A89" s="171" t="s">
        <v>118</v>
      </c>
      <c r="B89" s="194" t="s">
        <v>197</v>
      </c>
      <c r="C89" s="191" t="str">
        <f t="shared" si="8"/>
        <v>九州電力業務用電力A　60,000V</v>
      </c>
      <c r="D89" s="173">
        <v>1836</v>
      </c>
      <c r="E89" s="173">
        <v>11.54</v>
      </c>
      <c r="F89" s="173">
        <v>10.73</v>
      </c>
      <c r="G89" s="216"/>
    </row>
    <row r="90" spans="1:12" x14ac:dyDescent="0.15">
      <c r="A90" s="171" t="s">
        <v>118</v>
      </c>
      <c r="B90" s="194" t="s">
        <v>198</v>
      </c>
      <c r="C90" s="191" t="str">
        <f t="shared" si="8"/>
        <v>九州電力産業用電力A　6,000V</v>
      </c>
      <c r="D90" s="173">
        <v>2008.8</v>
      </c>
      <c r="E90" s="173">
        <v>12.25</v>
      </c>
      <c r="F90" s="173">
        <v>11.38</v>
      </c>
      <c r="G90" s="220"/>
    </row>
    <row r="91" spans="1:12" x14ac:dyDescent="0.15">
      <c r="A91" s="171" t="s">
        <v>118</v>
      </c>
      <c r="B91" s="194" t="s">
        <v>199</v>
      </c>
      <c r="C91" s="191" t="str">
        <f t="shared" si="8"/>
        <v>九州電力産業用電力A　20,000V</v>
      </c>
      <c r="D91" s="173">
        <v>1900.8</v>
      </c>
      <c r="E91" s="173">
        <v>11.26</v>
      </c>
      <c r="F91" s="173">
        <v>10.47</v>
      </c>
      <c r="G91" s="220"/>
    </row>
    <row r="92" spans="1:12" x14ac:dyDescent="0.15">
      <c r="A92" s="171" t="s">
        <v>118</v>
      </c>
      <c r="B92" s="194" t="s">
        <v>200</v>
      </c>
      <c r="C92" s="191" t="str">
        <f t="shared" si="8"/>
        <v>九州電力産業用電力A　60,000V</v>
      </c>
      <c r="D92" s="173">
        <v>1836</v>
      </c>
      <c r="E92" s="173">
        <v>11.15</v>
      </c>
      <c r="F92" s="173">
        <v>10.38</v>
      </c>
      <c r="G92" s="216"/>
    </row>
    <row r="93" spans="1:12" x14ac:dyDescent="0.15">
      <c r="A93" s="171" t="s">
        <v>118</v>
      </c>
      <c r="B93" s="194" t="s">
        <v>201</v>
      </c>
      <c r="C93" s="191" t="str">
        <f t="shared" si="8"/>
        <v>九州電力産業用電力A　100,000V</v>
      </c>
      <c r="D93" s="173">
        <v>1771.2</v>
      </c>
      <c r="E93" s="173">
        <v>11.05</v>
      </c>
      <c r="F93" s="173">
        <v>10.28</v>
      </c>
      <c r="G93" s="216" t="s">
        <v>206</v>
      </c>
      <c r="J93" t="s">
        <v>207</v>
      </c>
    </row>
    <row r="94" spans="1:12" x14ac:dyDescent="0.15">
      <c r="A94" s="171" t="s">
        <v>119</v>
      </c>
      <c r="B94" s="194" t="s">
        <v>74</v>
      </c>
      <c r="C94" s="191" t="str">
        <f t="shared" si="8"/>
        <v>沖縄電力低圧電力</v>
      </c>
      <c r="D94" s="173">
        <f ca="1">IF(TODAY()&lt;42583,G94,J94)</f>
        <v>1306.8</v>
      </c>
      <c r="E94" s="173">
        <f t="shared" ref="E94:F94" ca="1" si="17">IF(TODAY()&lt;42583,H94,K94)</f>
        <v>15.67</v>
      </c>
      <c r="F94" s="173">
        <f t="shared" ca="1" si="17"/>
        <v>14.31</v>
      </c>
      <c r="G94" s="219">
        <v>1306.8</v>
      </c>
      <c r="H94" s="219">
        <v>15.67</v>
      </c>
      <c r="I94" s="219">
        <v>14.31</v>
      </c>
      <c r="J94" s="219">
        <v>1306.8</v>
      </c>
      <c r="K94" s="219">
        <v>15.71</v>
      </c>
      <c r="L94" s="219">
        <v>14.35</v>
      </c>
    </row>
    <row r="95" spans="1:12" x14ac:dyDescent="0.15">
      <c r="A95" s="171" t="s">
        <v>119</v>
      </c>
      <c r="B95" s="194" t="s">
        <v>75</v>
      </c>
      <c r="C95" s="191" t="str">
        <f t="shared" si="8"/>
        <v>沖縄電力業務用電力（500kW未満）</v>
      </c>
      <c r="D95" s="173">
        <f t="shared" ref="D95:D102" ca="1" si="18">IF(TODAY()&lt;42583,G95,J95)</f>
        <v>1711.8</v>
      </c>
      <c r="E95" s="173">
        <f t="shared" ref="E95:E102" ca="1" si="19">IF(TODAY()&lt;42583,H95,K95)</f>
        <v>16.79</v>
      </c>
      <c r="F95" s="173">
        <f t="shared" ref="F95:F102" ca="1" si="20">IF(TODAY()&lt;42583,I95,L95)</f>
        <v>15.34</v>
      </c>
      <c r="G95" s="219">
        <v>1711.8</v>
      </c>
      <c r="H95" s="219">
        <v>16.79</v>
      </c>
      <c r="I95" s="219">
        <v>15.34</v>
      </c>
      <c r="J95" s="219">
        <v>1711.8</v>
      </c>
      <c r="K95" s="219">
        <v>16.829999999999998</v>
      </c>
      <c r="L95" s="219">
        <v>15.38</v>
      </c>
    </row>
    <row r="96" spans="1:12" x14ac:dyDescent="0.15">
      <c r="A96" s="171" t="s">
        <v>119</v>
      </c>
      <c r="B96" s="194" t="s">
        <v>73</v>
      </c>
      <c r="C96" s="191" t="str">
        <f t="shared" si="8"/>
        <v>沖縄電力業務用電力（500kW以上）</v>
      </c>
      <c r="D96" s="173">
        <f t="shared" ca="1" si="18"/>
        <v>1711.8</v>
      </c>
      <c r="E96" s="173">
        <f t="shared" ca="1" si="19"/>
        <v>16.79</v>
      </c>
      <c r="F96" s="173">
        <f t="shared" ca="1" si="20"/>
        <v>15.34</v>
      </c>
      <c r="G96" s="219">
        <v>1711.8</v>
      </c>
      <c r="H96" s="219">
        <v>16.79</v>
      </c>
      <c r="I96" s="219">
        <v>15.34</v>
      </c>
      <c r="J96" s="219">
        <v>1711.8</v>
      </c>
      <c r="K96" s="219">
        <v>16.829999999999998</v>
      </c>
      <c r="L96" s="219">
        <v>15.38</v>
      </c>
    </row>
    <row r="97" spans="1:12" x14ac:dyDescent="0.15">
      <c r="A97" s="171" t="s">
        <v>119</v>
      </c>
      <c r="B97" s="194" t="s">
        <v>180</v>
      </c>
      <c r="C97" s="191" t="str">
        <f t="shared" si="8"/>
        <v>沖縄電力高圧電力A</v>
      </c>
      <c r="D97" s="173">
        <f t="shared" ca="1" si="18"/>
        <v>1587.6</v>
      </c>
      <c r="E97" s="173">
        <f t="shared" ca="1" si="19"/>
        <v>14.9</v>
      </c>
      <c r="F97" s="173">
        <f t="shared" ca="1" si="20"/>
        <v>13.61</v>
      </c>
      <c r="G97" s="219">
        <v>1587.6</v>
      </c>
      <c r="H97" s="219">
        <v>14.9</v>
      </c>
      <c r="I97" s="219">
        <v>13.61</v>
      </c>
      <c r="J97" s="219">
        <v>1587.6</v>
      </c>
      <c r="K97" s="219">
        <v>14.94</v>
      </c>
      <c r="L97" s="219">
        <v>13.65</v>
      </c>
    </row>
    <row r="98" spans="1:12" x14ac:dyDescent="0.15">
      <c r="A98" s="171" t="s">
        <v>119</v>
      </c>
      <c r="B98" s="194" t="s">
        <v>181</v>
      </c>
      <c r="C98" s="191" t="str">
        <f t="shared" si="8"/>
        <v>沖縄電力高圧電力B</v>
      </c>
      <c r="D98" s="173">
        <f t="shared" ca="1" si="18"/>
        <v>1981.8</v>
      </c>
      <c r="E98" s="173">
        <f t="shared" ca="1" si="19"/>
        <v>13.93</v>
      </c>
      <c r="F98" s="173">
        <f t="shared" ca="1" si="20"/>
        <v>12.72</v>
      </c>
      <c r="G98" s="219">
        <v>1981.8</v>
      </c>
      <c r="H98" s="219">
        <v>13.93</v>
      </c>
      <c r="I98" s="219">
        <v>12.72</v>
      </c>
      <c r="J98" s="219">
        <v>1981.8</v>
      </c>
      <c r="K98" s="219">
        <v>13.97</v>
      </c>
      <c r="L98" s="219">
        <v>12.76</v>
      </c>
    </row>
    <row r="99" spans="1:12" x14ac:dyDescent="0.15">
      <c r="A99" s="171" t="s">
        <v>119</v>
      </c>
      <c r="B99" s="194" t="s">
        <v>202</v>
      </c>
      <c r="C99" s="191" t="str">
        <f t="shared" si="8"/>
        <v>沖縄電力特定規模電力A（20,000V）</v>
      </c>
      <c r="D99" s="173">
        <f t="shared" ca="1" si="18"/>
        <v>1701</v>
      </c>
      <c r="E99" s="173">
        <f t="shared" ca="1" si="19"/>
        <v>15.96</v>
      </c>
      <c r="F99" s="173">
        <f t="shared" ca="1" si="20"/>
        <v>14.58</v>
      </c>
      <c r="G99" s="219">
        <v>1701</v>
      </c>
      <c r="H99" s="219">
        <v>15.96</v>
      </c>
      <c r="I99" s="219">
        <v>14.58</v>
      </c>
      <c r="J99" s="219">
        <v>1701</v>
      </c>
      <c r="K99" s="219">
        <v>16</v>
      </c>
      <c r="L99" s="219">
        <v>14.62</v>
      </c>
    </row>
    <row r="100" spans="1:12" x14ac:dyDescent="0.15">
      <c r="A100" s="171" t="s">
        <v>119</v>
      </c>
      <c r="B100" s="194" t="s">
        <v>203</v>
      </c>
      <c r="C100" s="191" t="str">
        <f t="shared" si="8"/>
        <v>沖縄電力特定規模電力A（60,000V）</v>
      </c>
      <c r="D100" s="173">
        <f t="shared" ca="1" si="18"/>
        <v>1690.2</v>
      </c>
      <c r="E100" s="173">
        <f t="shared" ca="1" si="19"/>
        <v>15.72</v>
      </c>
      <c r="F100" s="173">
        <f t="shared" ca="1" si="20"/>
        <v>14.36</v>
      </c>
      <c r="G100" s="219">
        <v>1690.2</v>
      </c>
      <c r="H100" s="219">
        <v>15.72</v>
      </c>
      <c r="I100" s="219">
        <v>14.36</v>
      </c>
      <c r="J100" s="219">
        <v>1690.2</v>
      </c>
      <c r="K100" s="219">
        <v>15.76</v>
      </c>
      <c r="L100" s="219">
        <v>14.4</v>
      </c>
    </row>
    <row r="101" spans="1:12" x14ac:dyDescent="0.15">
      <c r="A101" s="171" t="s">
        <v>119</v>
      </c>
      <c r="B101" s="194" t="s">
        <v>204</v>
      </c>
      <c r="C101" s="191" t="str">
        <f t="shared" si="8"/>
        <v>沖縄電力特定規模電力B（20,000V）</v>
      </c>
      <c r="D101" s="173">
        <f t="shared" ca="1" si="18"/>
        <v>1868.4</v>
      </c>
      <c r="E101" s="173">
        <f t="shared" ca="1" si="19"/>
        <v>13.4</v>
      </c>
      <c r="F101" s="173">
        <f t="shared" ca="1" si="20"/>
        <v>12.24</v>
      </c>
      <c r="G101" s="219">
        <v>1868.4</v>
      </c>
      <c r="H101" s="219">
        <v>13.4</v>
      </c>
      <c r="I101" s="219">
        <v>12.24</v>
      </c>
      <c r="J101" s="219">
        <v>1868.4</v>
      </c>
      <c r="K101" s="219">
        <v>13.44</v>
      </c>
      <c r="L101" s="219">
        <v>12.28</v>
      </c>
    </row>
    <row r="102" spans="1:12" x14ac:dyDescent="0.15">
      <c r="A102" s="171" t="s">
        <v>119</v>
      </c>
      <c r="B102" s="194" t="s">
        <v>205</v>
      </c>
      <c r="C102" s="191" t="str">
        <f t="shared" si="8"/>
        <v>沖縄電力特定規模電力B（60,000V）</v>
      </c>
      <c r="D102" s="173">
        <f t="shared" ca="1" si="18"/>
        <v>1803.6</v>
      </c>
      <c r="E102" s="173">
        <f t="shared" ca="1" si="19"/>
        <v>13.17</v>
      </c>
      <c r="F102" s="173">
        <f t="shared" ca="1" si="20"/>
        <v>12.02</v>
      </c>
      <c r="G102" s="171">
        <v>1803.6</v>
      </c>
      <c r="H102" s="171">
        <v>13.17</v>
      </c>
      <c r="I102" s="171">
        <v>12.02</v>
      </c>
      <c r="J102" s="171">
        <v>1803.6</v>
      </c>
      <c r="K102" s="171">
        <v>13.21</v>
      </c>
      <c r="L102" s="171">
        <v>12.06</v>
      </c>
    </row>
    <row r="103" spans="1:12" x14ac:dyDescent="0.15">
      <c r="B103" s="170" t="s">
        <v>76</v>
      </c>
      <c r="C103" s="170"/>
      <c r="D103" s="174"/>
      <c r="E103" s="174"/>
      <c r="F103" s="174"/>
      <c r="G103" s="221"/>
      <c r="H103" s="171"/>
      <c r="I103" s="171"/>
      <c r="J103" s="171"/>
      <c r="K103" s="171"/>
      <c r="L103" s="171"/>
    </row>
    <row r="106" spans="1:12" x14ac:dyDescent="0.15">
      <c r="B106" s="175" t="s">
        <v>77</v>
      </c>
      <c r="C106" s="176" t="s">
        <v>78</v>
      </c>
      <c r="D106" s="176" t="s">
        <v>79</v>
      </c>
      <c r="E106" s="176" t="s">
        <v>80</v>
      </c>
      <c r="F106" s="176" t="s">
        <v>81</v>
      </c>
      <c r="G106" s="176"/>
      <c r="H106" s="176" t="s">
        <v>82</v>
      </c>
      <c r="I106" s="176" t="s">
        <v>83</v>
      </c>
      <c r="J106" s="176" t="s">
        <v>84</v>
      </c>
      <c r="K106" s="176" t="s">
        <v>85</v>
      </c>
      <c r="L106" s="176" t="s">
        <v>86</v>
      </c>
    </row>
    <row r="107" spans="1:12" x14ac:dyDescent="0.15">
      <c r="B107" s="176" t="s">
        <v>87</v>
      </c>
      <c r="C107" s="176"/>
      <c r="D107" s="176">
        <v>2.33</v>
      </c>
      <c r="E107" s="176"/>
      <c r="F107" s="176">
        <v>0.18</v>
      </c>
      <c r="G107" s="176"/>
      <c r="H107" s="171"/>
      <c r="I107" s="171"/>
      <c r="J107" s="171"/>
      <c r="K107" s="171"/>
      <c r="L107" s="171"/>
    </row>
    <row r="108" spans="1:12" x14ac:dyDescent="0.15">
      <c r="B108" s="176" t="s">
        <v>88</v>
      </c>
      <c r="C108" s="176"/>
      <c r="D108" s="176">
        <v>2.16</v>
      </c>
      <c r="E108" s="176"/>
      <c r="F108" s="176">
        <v>0.18</v>
      </c>
      <c r="G108" s="176"/>
      <c r="H108" s="171"/>
      <c r="I108" s="171"/>
      <c r="J108" s="171"/>
      <c r="K108" s="171"/>
      <c r="L108" s="171"/>
    </row>
    <row r="109" spans="1:12" x14ac:dyDescent="0.15">
      <c r="B109" s="176" t="s">
        <v>89</v>
      </c>
      <c r="C109" s="176"/>
      <c r="D109" s="176">
        <v>2.13</v>
      </c>
      <c r="E109" s="176"/>
      <c r="F109" s="176">
        <v>0.17</v>
      </c>
      <c r="G109" s="176"/>
      <c r="H109" s="171"/>
      <c r="I109" s="171"/>
      <c r="J109" s="171"/>
      <c r="K109" s="171"/>
      <c r="L109" s="171"/>
    </row>
    <row r="110" spans="1:12" x14ac:dyDescent="0.15">
      <c r="B110" s="177"/>
      <c r="C110" s="177"/>
      <c r="D110" s="177"/>
    </row>
    <row r="111" spans="1:12" x14ac:dyDescent="0.15">
      <c r="B111" s="175" t="s">
        <v>90</v>
      </c>
      <c r="C111" s="176" t="s">
        <v>79</v>
      </c>
      <c r="D111" s="176" t="s">
        <v>81</v>
      </c>
      <c r="F111" t="s">
        <v>211</v>
      </c>
      <c r="H111" t="s">
        <v>213</v>
      </c>
      <c r="J111" t="s">
        <v>214</v>
      </c>
    </row>
    <row r="112" spans="1:12" x14ac:dyDescent="0.15">
      <c r="B112" s="176" t="s">
        <v>87</v>
      </c>
      <c r="C112" s="176">
        <v>0.75</v>
      </c>
      <c r="D112" s="176">
        <v>0.75</v>
      </c>
      <c r="H112" t="str">
        <f>TEXT(ROUNDUP(既設電気料金+既設基本料金,0),"#,###")&amp;"　円"</f>
        <v>　円</v>
      </c>
      <c r="J112" t="str">
        <f>TEXT(ROUNDUP(新設電気料金+新設基本料金,0),"#,###")&amp;"　円"</f>
        <v>　円</v>
      </c>
    </row>
    <row r="113" spans="2:5" x14ac:dyDescent="0.15">
      <c r="B113" s="176" t="s">
        <v>88</v>
      </c>
      <c r="C113" s="176">
        <v>0.75</v>
      </c>
      <c r="D113" s="176">
        <v>0.75</v>
      </c>
    </row>
    <row r="114" spans="2:5" x14ac:dyDescent="0.15">
      <c r="B114" s="176" t="s">
        <v>89</v>
      </c>
      <c r="C114" s="176">
        <v>0.75</v>
      </c>
      <c r="D114" s="176">
        <v>0.75</v>
      </c>
    </row>
    <row r="117" spans="2:5" ht="14.25" thickBot="1" x14ac:dyDescent="0.2">
      <c r="B117" s="178" t="s">
        <v>91</v>
      </c>
    </row>
    <row r="118" spans="2:5" ht="14.25" thickTop="1" x14ac:dyDescent="0.15">
      <c r="B118" s="334" t="s">
        <v>92</v>
      </c>
      <c r="C118" s="337" t="s">
        <v>64</v>
      </c>
      <c r="D118" s="339" t="s">
        <v>65</v>
      </c>
      <c r="E118" s="340"/>
    </row>
    <row r="119" spans="2:5" x14ac:dyDescent="0.15">
      <c r="B119" s="335"/>
      <c r="C119" s="338"/>
      <c r="D119" s="168" t="s">
        <v>66</v>
      </c>
      <c r="E119" s="179" t="s">
        <v>67</v>
      </c>
    </row>
    <row r="120" spans="2:5" x14ac:dyDescent="0.15">
      <c r="B120" s="336"/>
      <c r="C120" s="338"/>
      <c r="D120" s="169">
        <v>3</v>
      </c>
      <c r="E120" s="180">
        <v>9</v>
      </c>
    </row>
    <row r="121" spans="2:5" x14ac:dyDescent="0.15">
      <c r="B121" s="181" t="s">
        <v>93</v>
      </c>
      <c r="C121" s="171" t="e">
        <f>+#REF!</f>
        <v>#REF!</v>
      </c>
      <c r="D121" s="171" t="e">
        <f>+#REF!+$B$107+$B$112</f>
        <v>#REF!</v>
      </c>
      <c r="E121" s="182" t="e">
        <f>+#REF!+$B$107+$B$112</f>
        <v>#REF!</v>
      </c>
    </row>
    <row r="122" spans="2:5" x14ac:dyDescent="0.15">
      <c r="B122" s="181" t="s">
        <v>94</v>
      </c>
      <c r="C122" s="171">
        <f t="shared" ref="C122:C127" si="21">+D19</f>
        <v>1269</v>
      </c>
      <c r="D122" s="171" t="e">
        <f t="shared" ref="D122:E124" si="22">+E19+$B$109+$B$114</f>
        <v>#VALUE!</v>
      </c>
      <c r="E122" s="182" t="e">
        <f t="shared" si="22"/>
        <v>#VALUE!</v>
      </c>
    </row>
    <row r="123" spans="2:5" x14ac:dyDescent="0.15">
      <c r="B123" s="181" t="s">
        <v>95</v>
      </c>
      <c r="C123" s="171">
        <f t="shared" si="21"/>
        <v>1782</v>
      </c>
      <c r="D123" s="171" t="e">
        <f t="shared" si="22"/>
        <v>#VALUE!</v>
      </c>
      <c r="E123" s="182" t="e">
        <f t="shared" si="22"/>
        <v>#VALUE!</v>
      </c>
    </row>
    <row r="124" spans="2:5" x14ac:dyDescent="0.15">
      <c r="B124" s="181" t="s">
        <v>96</v>
      </c>
      <c r="C124" s="171">
        <f t="shared" si="21"/>
        <v>1684.8</v>
      </c>
      <c r="D124" s="171" t="e">
        <f t="shared" si="22"/>
        <v>#VALUE!</v>
      </c>
      <c r="E124" s="182" t="e">
        <f t="shared" si="22"/>
        <v>#VALUE!</v>
      </c>
    </row>
    <row r="125" spans="2:5" x14ac:dyDescent="0.15">
      <c r="B125" s="181" t="s">
        <v>97</v>
      </c>
      <c r="C125" s="171">
        <f t="shared" si="21"/>
        <v>1684.8</v>
      </c>
      <c r="D125" s="171" t="e">
        <f t="shared" ref="D125:E127" si="23">+E22+$B$108+$B$113</f>
        <v>#VALUE!</v>
      </c>
      <c r="E125" s="182" t="e">
        <f t="shared" si="23"/>
        <v>#VALUE!</v>
      </c>
    </row>
    <row r="126" spans="2:5" x14ac:dyDescent="0.15">
      <c r="B126" s="181" t="s">
        <v>98</v>
      </c>
      <c r="C126" s="171">
        <f t="shared" si="21"/>
        <v>1630.8</v>
      </c>
      <c r="D126" s="171" t="e">
        <f t="shared" si="23"/>
        <v>#VALUE!</v>
      </c>
      <c r="E126" s="182" t="e">
        <f t="shared" si="23"/>
        <v>#VALUE!</v>
      </c>
    </row>
    <row r="127" spans="2:5" x14ac:dyDescent="0.15">
      <c r="B127" s="181" t="s">
        <v>99</v>
      </c>
      <c r="C127" s="171">
        <f t="shared" si="21"/>
        <v>1576.8</v>
      </c>
      <c r="D127" s="171" t="e">
        <f t="shared" si="23"/>
        <v>#VALUE!</v>
      </c>
      <c r="E127" s="182" t="e">
        <f t="shared" si="23"/>
        <v>#VALUE!</v>
      </c>
    </row>
    <row r="128" spans="2:5" x14ac:dyDescent="0.15">
      <c r="B128" s="181" t="s">
        <v>100</v>
      </c>
      <c r="C128" s="171">
        <f>+D27</f>
        <v>1576.8</v>
      </c>
      <c r="D128" s="171" t="e">
        <f>+E27+$B$108+$B$113</f>
        <v>#VALUE!</v>
      </c>
      <c r="E128" s="182" t="e">
        <f>+F27+$B$108+$B$113</f>
        <v>#VALUE!</v>
      </c>
    </row>
    <row r="129" spans="2:5" x14ac:dyDescent="0.15">
      <c r="B129" s="181" t="s">
        <v>101</v>
      </c>
      <c r="C129" s="171" t="e">
        <f>+#REF!</f>
        <v>#REF!</v>
      </c>
      <c r="D129" s="171" t="e">
        <f>+#REF!+$D$107+$C$112</f>
        <v>#REF!</v>
      </c>
      <c r="E129" s="182" t="e">
        <f>+#REF!+$D$107+$C$112</f>
        <v>#REF!</v>
      </c>
    </row>
    <row r="130" spans="2:5" x14ac:dyDescent="0.15">
      <c r="B130" s="181" t="s">
        <v>102</v>
      </c>
      <c r="C130" s="171">
        <f>+D36</f>
        <v>1257.94</v>
      </c>
      <c r="D130" s="171">
        <f>+E36+$D$109+$C$114</f>
        <v>20.74</v>
      </c>
      <c r="E130" s="182">
        <f>+F36+$D$109+$C$114</f>
        <v>19.559999999999999</v>
      </c>
    </row>
    <row r="131" spans="2:5" x14ac:dyDescent="0.15">
      <c r="B131" s="181" t="s">
        <v>103</v>
      </c>
      <c r="C131" s="171">
        <f>+D37</f>
        <v>1636.46</v>
      </c>
      <c r="D131" s="171">
        <f>+E37+$D$109+$C$114</f>
        <v>18.84</v>
      </c>
      <c r="E131" s="182">
        <f>+F37+$D$109+$C$114</f>
        <v>17.86</v>
      </c>
    </row>
    <row r="132" spans="2:5" x14ac:dyDescent="0.15">
      <c r="B132" s="181" t="s">
        <v>104</v>
      </c>
      <c r="C132" s="171">
        <f>+D46</f>
        <v>1614.86</v>
      </c>
      <c r="D132" s="171">
        <f>+E46+$D$109+$C$114</f>
        <v>19.82</v>
      </c>
      <c r="E132" s="182">
        <f>+F46+$D$109+$C$114</f>
        <v>18.75</v>
      </c>
    </row>
    <row r="133" spans="2:5" x14ac:dyDescent="0.15">
      <c r="B133" s="181" t="s">
        <v>105</v>
      </c>
      <c r="C133" s="171">
        <f>+D47</f>
        <v>1809.26</v>
      </c>
      <c r="D133" s="171">
        <f t="shared" ref="D133:E135" si="24">+E47+$D$108+$C$113</f>
        <v>18.75</v>
      </c>
      <c r="E133" s="182">
        <f t="shared" si="24"/>
        <v>17.77</v>
      </c>
    </row>
    <row r="134" spans="2:5" x14ac:dyDescent="0.15">
      <c r="B134" s="181" t="s">
        <v>106</v>
      </c>
      <c r="C134" s="171">
        <f>+D48</f>
        <v>1895.66</v>
      </c>
      <c r="D134" s="171">
        <f t="shared" si="24"/>
        <v>18.54</v>
      </c>
      <c r="E134" s="182">
        <f t="shared" si="24"/>
        <v>17.59</v>
      </c>
    </row>
    <row r="135" spans="2:5" x14ac:dyDescent="0.15">
      <c r="B135" s="181" t="s">
        <v>107</v>
      </c>
      <c r="C135" s="172">
        <f>+D49</f>
        <v>1614.86</v>
      </c>
      <c r="D135" s="171">
        <f t="shared" si="24"/>
        <v>19.850000000000001</v>
      </c>
      <c r="E135" s="182">
        <f t="shared" si="24"/>
        <v>18.78</v>
      </c>
    </row>
    <row r="136" spans="2:5" x14ac:dyDescent="0.15">
      <c r="B136" s="181" t="s">
        <v>108</v>
      </c>
      <c r="C136" s="172">
        <f>+D51</f>
        <v>1895.66</v>
      </c>
      <c r="D136" s="171">
        <f>+E51+$D$108+$C$113</f>
        <v>18.54</v>
      </c>
      <c r="E136" s="182">
        <f>+F51+$D$108+$C$113</f>
        <v>17.59</v>
      </c>
    </row>
    <row r="137" spans="2:5" ht="14.25" thickBot="1" x14ac:dyDescent="0.2">
      <c r="B137" s="183" t="s">
        <v>76</v>
      </c>
      <c r="C137" s="184">
        <f t="shared" ref="C137" si="25">+D103</f>
        <v>0</v>
      </c>
      <c r="D137" s="184">
        <f>+E103</f>
        <v>0</v>
      </c>
      <c r="E137" s="185">
        <f>+F103</f>
        <v>0</v>
      </c>
    </row>
    <row r="138" spans="2:5" ht="14.25" thickTop="1" x14ac:dyDescent="0.15"/>
  </sheetData>
  <mergeCells count="8">
    <mergeCell ref="B118:B120"/>
    <mergeCell ref="C118:C120"/>
    <mergeCell ref="D118:E118"/>
    <mergeCell ref="C2:D2"/>
    <mergeCell ref="A7:A9"/>
    <mergeCell ref="B7:B9"/>
    <mergeCell ref="D7:D9"/>
    <mergeCell ref="E7:F7"/>
  </mergeCells>
  <phoneticPr fontId="2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39</vt:i4>
      </vt:variant>
    </vt:vector>
  </HeadingPairs>
  <TitlesOfParts>
    <vt:vector size="41" baseType="lpstr">
      <vt:lpstr>コストシミュレーション</vt:lpstr>
      <vt:lpstr>Sheet1</vt:lpstr>
      <vt:lpstr>コストシミュレーション!Print_Area</vt:lpstr>
      <vt:lpstr>その他季単価</vt:lpstr>
      <vt:lpstr>沖縄電力</vt:lpstr>
      <vt:lpstr>夏季単価</vt:lpstr>
      <vt:lpstr>関西電力</vt:lpstr>
      <vt:lpstr>基本料金</vt:lpstr>
      <vt:lpstr>既設デマンド</vt:lpstr>
      <vt:lpstr>既設基本料金</vt:lpstr>
      <vt:lpstr>既設使用量</vt:lpstr>
      <vt:lpstr>既設電気料金</vt:lpstr>
      <vt:lpstr>既灯1型式</vt:lpstr>
      <vt:lpstr>既灯1消費</vt:lpstr>
      <vt:lpstr>既灯1本数</vt:lpstr>
      <vt:lpstr>既灯1名称</vt:lpstr>
      <vt:lpstr>既灯2型式</vt:lpstr>
      <vt:lpstr>既灯2消費</vt:lpstr>
      <vt:lpstr>既灯2本数</vt:lpstr>
      <vt:lpstr>既灯2名称</vt:lpstr>
      <vt:lpstr>九州電力</vt:lpstr>
      <vt:lpstr>四国電力</vt:lpstr>
      <vt:lpstr>新設デマンド</vt:lpstr>
      <vt:lpstr>新設基本料金</vt:lpstr>
      <vt:lpstr>新設使用量</vt:lpstr>
      <vt:lpstr>新設電気料金</vt:lpstr>
      <vt:lpstr>新灯1型式</vt:lpstr>
      <vt:lpstr>新灯1消費</vt:lpstr>
      <vt:lpstr>新灯1本数</vt:lpstr>
      <vt:lpstr>新灯1名称</vt:lpstr>
      <vt:lpstr>新灯2型式</vt:lpstr>
      <vt:lpstr>新灯2消費</vt:lpstr>
      <vt:lpstr>新灯2本数</vt:lpstr>
      <vt:lpstr>新灯2名称</vt:lpstr>
      <vt:lpstr>中国電力</vt:lpstr>
      <vt:lpstr>中部電力</vt:lpstr>
      <vt:lpstr>電気事業者</vt:lpstr>
      <vt:lpstr>東京電力</vt:lpstr>
      <vt:lpstr>東北電力</vt:lpstr>
      <vt:lpstr>北海道電力</vt:lpstr>
      <vt:lpstr>北陸電力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nichido</dc:creator>
  <cp:lastModifiedBy>univewsal</cp:lastModifiedBy>
  <cp:lastPrinted>2016-02-10T11:54:56Z</cp:lastPrinted>
  <dcterms:created xsi:type="dcterms:W3CDTF">2012-01-10T10:15:19Z</dcterms:created>
  <dcterms:modified xsi:type="dcterms:W3CDTF">2016-02-10T11:59:11Z</dcterms:modified>
</cp:coreProperties>
</file>